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0980"/>
  </bookViews>
  <sheets>
    <sheet name="Лист1" sheetId="1" r:id="rId1"/>
    <sheet name="Лист2" sheetId="2" r:id="rId2"/>
  </sheets>
  <definedNames>
    <definedName name="_xlnm.Print_Area" localSheetId="0">Лист1!$A$1:$L$201</definedName>
  </definedNames>
  <calcPr calcId="144525"/>
</workbook>
</file>

<file path=xl/calcChain.xml><?xml version="1.0" encoding="utf-8"?>
<calcChain xmlns="http://schemas.openxmlformats.org/spreadsheetml/2006/main">
  <c r="J173" i="1" l="1"/>
  <c r="I173" i="1"/>
  <c r="H173" i="1"/>
  <c r="G173" i="1"/>
  <c r="J155" i="1"/>
  <c r="I155" i="1"/>
  <c r="H155" i="1"/>
  <c r="G155" i="1"/>
  <c r="J142" i="1"/>
  <c r="H142" i="1"/>
  <c r="I142" i="1"/>
  <c r="G142" i="1"/>
  <c r="G133" i="1"/>
  <c r="H116" i="1"/>
  <c r="J50" i="1"/>
  <c r="I50" i="1"/>
  <c r="H50" i="1"/>
  <c r="G50" i="1"/>
  <c r="J33" i="1"/>
  <c r="I32" i="1"/>
  <c r="H32" i="1"/>
  <c r="G32" i="1"/>
  <c r="J32" i="1"/>
  <c r="L186" i="1" l="1"/>
  <c r="L168" i="1"/>
  <c r="L150" i="1"/>
  <c r="L140" i="1"/>
  <c r="I116" i="1"/>
  <c r="L121" i="1"/>
  <c r="L113" i="1"/>
  <c r="L103" i="1"/>
  <c r="L85" i="1"/>
  <c r="L77" i="1"/>
  <c r="L58" i="1"/>
  <c r="L48" i="1"/>
  <c r="L39" i="1"/>
  <c r="L12" i="1"/>
  <c r="J183" i="1" l="1"/>
  <c r="I183" i="1"/>
  <c r="H183" i="1"/>
  <c r="G183" i="1"/>
  <c r="J182" i="1"/>
  <c r="I182" i="1"/>
  <c r="H182" i="1"/>
  <c r="G182" i="1"/>
  <c r="J180" i="1"/>
  <c r="I180" i="1"/>
  <c r="H180" i="1"/>
  <c r="G180" i="1"/>
  <c r="J179" i="1"/>
  <c r="I179" i="1"/>
  <c r="H179" i="1"/>
  <c r="G179" i="1"/>
  <c r="J178" i="1"/>
  <c r="I178" i="1"/>
  <c r="H178" i="1"/>
  <c r="G178" i="1"/>
  <c r="J177" i="1"/>
  <c r="I177" i="1"/>
  <c r="H177" i="1"/>
  <c r="G177" i="1"/>
  <c r="J174" i="1"/>
  <c r="I174" i="1"/>
  <c r="H174" i="1"/>
  <c r="G174" i="1"/>
  <c r="J171" i="1"/>
  <c r="I171" i="1"/>
  <c r="H171" i="1"/>
  <c r="G171" i="1"/>
  <c r="J170" i="1"/>
  <c r="I170" i="1"/>
  <c r="H170" i="1"/>
  <c r="G170" i="1"/>
  <c r="J165" i="1"/>
  <c r="I165" i="1"/>
  <c r="H165" i="1"/>
  <c r="G165" i="1"/>
  <c r="J164" i="1"/>
  <c r="I164" i="1"/>
  <c r="H164" i="1"/>
  <c r="G164" i="1"/>
  <c r="J162" i="1"/>
  <c r="I162" i="1"/>
  <c r="H162" i="1"/>
  <c r="G162" i="1"/>
  <c r="J161" i="1"/>
  <c r="I161" i="1"/>
  <c r="H161" i="1"/>
  <c r="G161" i="1"/>
  <c r="J160" i="1"/>
  <c r="I160" i="1"/>
  <c r="H160" i="1"/>
  <c r="G160" i="1"/>
  <c r="J159" i="1"/>
  <c r="I159" i="1"/>
  <c r="H159" i="1"/>
  <c r="G159" i="1"/>
  <c r="J156" i="1"/>
  <c r="I156" i="1"/>
  <c r="H156" i="1"/>
  <c r="G156" i="1"/>
  <c r="J153" i="1"/>
  <c r="I153" i="1"/>
  <c r="H153" i="1"/>
  <c r="G153" i="1"/>
  <c r="J152" i="1"/>
  <c r="I152" i="1"/>
  <c r="H152" i="1"/>
  <c r="H158" i="1" s="1"/>
  <c r="G152" i="1"/>
  <c r="J147" i="1"/>
  <c r="I147" i="1"/>
  <c r="H147" i="1"/>
  <c r="G147" i="1"/>
  <c r="J146" i="1"/>
  <c r="I146" i="1"/>
  <c r="H146" i="1"/>
  <c r="G146" i="1"/>
  <c r="J144" i="1"/>
  <c r="I144" i="1"/>
  <c r="H144" i="1"/>
  <c r="G144" i="1"/>
  <c r="J143" i="1"/>
  <c r="I143" i="1"/>
  <c r="H143" i="1"/>
  <c r="G143" i="1"/>
  <c r="J141" i="1"/>
  <c r="I141" i="1"/>
  <c r="H141" i="1"/>
  <c r="G141" i="1"/>
  <c r="J138" i="1"/>
  <c r="I138" i="1"/>
  <c r="H138" i="1"/>
  <c r="G138" i="1"/>
  <c r="G134" i="1"/>
  <c r="H124" i="1"/>
  <c r="G124" i="1"/>
  <c r="J123" i="1"/>
  <c r="I123" i="1"/>
  <c r="H123" i="1"/>
  <c r="G123" i="1"/>
  <c r="H125" i="1"/>
  <c r="J116" i="1"/>
  <c r="G116" i="1"/>
  <c r="I106" i="1"/>
  <c r="H106" i="1"/>
  <c r="G106" i="1"/>
  <c r="J105" i="1"/>
  <c r="I105" i="1"/>
  <c r="H105" i="1"/>
  <c r="G105" i="1"/>
  <c r="J97" i="1"/>
  <c r="J89" i="1"/>
  <c r="H89" i="1"/>
  <c r="G88" i="1"/>
  <c r="J87" i="1"/>
  <c r="I87" i="1"/>
  <c r="H87" i="1"/>
  <c r="G87" i="1"/>
  <c r="J86" i="1"/>
  <c r="I86" i="1"/>
  <c r="G86" i="1"/>
  <c r="J84" i="1"/>
  <c r="I84" i="1"/>
  <c r="H84" i="1"/>
  <c r="G84" i="1"/>
  <c r="J69" i="1"/>
  <c r="I69" i="1"/>
  <c r="H69" i="1"/>
  <c r="G69" i="1"/>
  <c r="J68" i="1"/>
  <c r="I68" i="1"/>
  <c r="G68" i="1"/>
  <c r="J64" i="1"/>
  <c r="I64" i="1"/>
  <c r="H64" i="1"/>
  <c r="G64" i="1"/>
  <c r="L158" i="1"/>
  <c r="J158" i="1"/>
  <c r="I158" i="1"/>
  <c r="F158" i="1"/>
  <c r="F113" i="1"/>
  <c r="J106" i="1"/>
  <c r="J98" i="1"/>
  <c r="I98" i="1"/>
  <c r="H98" i="1"/>
  <c r="G98" i="1"/>
  <c r="H52" i="1"/>
  <c r="H51" i="1"/>
  <c r="J47" i="1"/>
  <c r="I47" i="1"/>
  <c r="H47" i="1"/>
  <c r="G47" i="1"/>
  <c r="J31" i="1"/>
  <c r="I31" i="1"/>
  <c r="G31" i="1"/>
  <c r="I24" i="1"/>
  <c r="H25" i="1"/>
  <c r="J14" i="1"/>
  <c r="G6" i="1"/>
  <c r="J7" i="1"/>
  <c r="I7" i="1"/>
  <c r="H7" i="1"/>
  <c r="G7" i="1"/>
  <c r="G158" i="1" l="1"/>
  <c r="J6" i="1"/>
  <c r="I6" i="1"/>
  <c r="H6" i="1"/>
  <c r="F85" i="1" l="1"/>
  <c r="J134" i="1" l="1"/>
  <c r="I134" i="1"/>
  <c r="H134" i="1"/>
  <c r="J137" i="1"/>
  <c r="I137" i="1"/>
  <c r="H137" i="1"/>
  <c r="G137" i="1"/>
  <c r="J136" i="1"/>
  <c r="I136" i="1"/>
  <c r="H136" i="1"/>
  <c r="G136" i="1"/>
  <c r="J133" i="1"/>
  <c r="I133" i="1"/>
  <c r="H133" i="1"/>
  <c r="H140" i="1" s="1"/>
  <c r="J125" i="1"/>
  <c r="I125" i="1"/>
  <c r="G125" i="1"/>
  <c r="J124" i="1"/>
  <c r="I124" i="1"/>
  <c r="J127" i="1"/>
  <c r="I127" i="1"/>
  <c r="H127" i="1"/>
  <c r="G127" i="1"/>
  <c r="J122" i="1"/>
  <c r="I122" i="1"/>
  <c r="H122" i="1"/>
  <c r="G122" i="1"/>
  <c r="J115" i="1"/>
  <c r="I115" i="1"/>
  <c r="H115" i="1"/>
  <c r="G115" i="1"/>
  <c r="J104" i="1"/>
  <c r="I104" i="1"/>
  <c r="H104" i="1"/>
  <c r="G104" i="1"/>
  <c r="I97" i="1"/>
  <c r="H97" i="1"/>
  <c r="G97" i="1"/>
  <c r="J100" i="1"/>
  <c r="I100" i="1"/>
  <c r="H100" i="1"/>
  <c r="G100" i="1"/>
  <c r="J101" i="1"/>
  <c r="I101" i="1"/>
  <c r="H101" i="1"/>
  <c r="G101" i="1"/>
  <c r="J91" i="1"/>
  <c r="I91" i="1"/>
  <c r="H91" i="1"/>
  <c r="G91" i="1"/>
  <c r="H86" i="1"/>
  <c r="J88" i="1"/>
  <c r="I88" i="1"/>
  <c r="H88" i="1"/>
  <c r="I89" i="1"/>
  <c r="G89" i="1"/>
  <c r="J92" i="1"/>
  <c r="I92" i="1"/>
  <c r="H92" i="1"/>
  <c r="G92" i="1"/>
  <c r="J103" i="1" l="1"/>
  <c r="I103" i="1"/>
  <c r="J80" i="1"/>
  <c r="I80" i="1"/>
  <c r="H80" i="1"/>
  <c r="G80" i="1"/>
  <c r="J82" i="1"/>
  <c r="I82" i="1"/>
  <c r="H82" i="1"/>
  <c r="G82" i="1"/>
  <c r="H68" i="1"/>
  <c r="J71" i="1"/>
  <c r="I71" i="1"/>
  <c r="H71" i="1"/>
  <c r="G71" i="1"/>
  <c r="J108" i="1"/>
  <c r="I108" i="1"/>
  <c r="H108" i="1"/>
  <c r="G108" i="1"/>
  <c r="J70" i="1"/>
  <c r="I70" i="1"/>
  <c r="H70" i="1"/>
  <c r="G70" i="1"/>
  <c r="J60" i="1" l="1"/>
  <c r="I60" i="1"/>
  <c r="H60" i="1"/>
  <c r="G60" i="1"/>
  <c r="J63" i="1"/>
  <c r="I63" i="1"/>
  <c r="H63" i="1"/>
  <c r="G63" i="1"/>
  <c r="J62" i="1"/>
  <c r="I62" i="1"/>
  <c r="H62" i="1"/>
  <c r="G62" i="1"/>
  <c r="J49" i="1"/>
  <c r="I49" i="1"/>
  <c r="H49" i="1"/>
  <c r="G49" i="1"/>
  <c r="J51" i="1"/>
  <c r="I51" i="1"/>
  <c r="G51" i="1"/>
  <c r="J55" i="1"/>
  <c r="I55" i="1"/>
  <c r="H55" i="1"/>
  <c r="G55" i="1"/>
  <c r="J54" i="1"/>
  <c r="I54" i="1"/>
  <c r="H54" i="1"/>
  <c r="G54" i="1"/>
  <c r="J52" i="1"/>
  <c r="I52" i="1"/>
  <c r="G52" i="1"/>
  <c r="H58" i="1" l="1"/>
  <c r="I58" i="1"/>
  <c r="H31" i="1"/>
  <c r="I33" i="1"/>
  <c r="H33" i="1"/>
  <c r="G33" i="1"/>
  <c r="J35" i="1"/>
  <c r="I35" i="1"/>
  <c r="H35" i="1"/>
  <c r="G35" i="1"/>
  <c r="J25" i="1" l="1"/>
  <c r="I25" i="1"/>
  <c r="G25" i="1"/>
  <c r="J24" i="1"/>
  <c r="H24" i="1"/>
  <c r="G24" i="1"/>
  <c r="G27" i="1"/>
  <c r="H27" i="1"/>
  <c r="I27" i="1"/>
  <c r="J27" i="1"/>
  <c r="G28" i="1"/>
  <c r="H28" i="1"/>
  <c r="I28" i="1"/>
  <c r="J28" i="1"/>
  <c r="J9" i="1"/>
  <c r="I9" i="1"/>
  <c r="H9" i="1"/>
  <c r="G9" i="1"/>
  <c r="I14" i="1"/>
  <c r="H14" i="1"/>
  <c r="G14" i="1"/>
  <c r="J13" i="1"/>
  <c r="I13" i="1"/>
  <c r="H13" i="1"/>
  <c r="G13" i="1"/>
  <c r="J15" i="1"/>
  <c r="I15" i="1"/>
  <c r="H15" i="1"/>
  <c r="G15" i="1"/>
  <c r="J16" i="1"/>
  <c r="I16" i="1"/>
  <c r="H16" i="1"/>
  <c r="G16" i="1"/>
  <c r="J18" i="1"/>
  <c r="I18" i="1"/>
  <c r="H18" i="1"/>
  <c r="G18" i="1"/>
  <c r="J19" i="1"/>
  <c r="I19" i="1"/>
  <c r="H19" i="1"/>
  <c r="G19" i="1"/>
  <c r="J10" i="1"/>
  <c r="I10" i="1"/>
  <c r="H10" i="1"/>
  <c r="G10" i="1"/>
  <c r="I12" i="1" l="1"/>
  <c r="G12" i="1"/>
  <c r="J118" i="1"/>
  <c r="I118" i="1"/>
  <c r="H118" i="1"/>
  <c r="G118" i="1"/>
  <c r="F186" i="1" l="1"/>
  <c r="G186" i="1"/>
  <c r="H186" i="1"/>
  <c r="L176" i="1"/>
  <c r="F176" i="1"/>
  <c r="J176" i="1"/>
  <c r="I176" i="1"/>
  <c r="G176" i="1"/>
  <c r="H176" i="1"/>
  <c r="L169" i="1"/>
  <c r="F168" i="1"/>
  <c r="F169" i="1" s="1"/>
  <c r="G168" i="1"/>
  <c r="B151" i="1"/>
  <c r="A151" i="1"/>
  <c r="F150" i="1"/>
  <c r="J150" i="1"/>
  <c r="I150" i="1"/>
  <c r="G150" i="1"/>
  <c r="H150" i="1"/>
  <c r="B141" i="1"/>
  <c r="A141" i="1"/>
  <c r="F140" i="1"/>
  <c r="B132" i="1"/>
  <c r="A132" i="1"/>
  <c r="L131" i="1"/>
  <c r="F131" i="1"/>
  <c r="J128" i="1"/>
  <c r="J131" i="1" s="1"/>
  <c r="I128" i="1"/>
  <c r="I131" i="1" s="1"/>
  <c r="H128" i="1"/>
  <c r="H131" i="1" s="1"/>
  <c r="G128" i="1"/>
  <c r="G131" i="1" s="1"/>
  <c r="B122" i="1"/>
  <c r="A122" i="1"/>
  <c r="F121" i="1"/>
  <c r="J121" i="1"/>
  <c r="I121" i="1"/>
  <c r="H121" i="1"/>
  <c r="G121" i="1"/>
  <c r="B114" i="1"/>
  <c r="A114" i="1"/>
  <c r="J110" i="1"/>
  <c r="I110" i="1"/>
  <c r="H110" i="1"/>
  <c r="G110" i="1"/>
  <c r="J107" i="1"/>
  <c r="J113" i="1" s="1"/>
  <c r="I107" i="1"/>
  <c r="I113" i="1" s="1"/>
  <c r="H107" i="1"/>
  <c r="H113" i="1" s="1"/>
  <c r="G107" i="1"/>
  <c r="G113" i="1" s="1"/>
  <c r="B104" i="1"/>
  <c r="A104" i="1"/>
  <c r="F103" i="1"/>
  <c r="F114" i="1" s="1"/>
  <c r="I114" i="1"/>
  <c r="H103" i="1"/>
  <c r="B96" i="1"/>
  <c r="A96" i="1"/>
  <c r="L95" i="1"/>
  <c r="F95" i="1"/>
  <c r="H95" i="1"/>
  <c r="J95" i="1"/>
  <c r="G95" i="1"/>
  <c r="B86" i="1"/>
  <c r="A86" i="1"/>
  <c r="J83" i="1"/>
  <c r="J85" i="1" s="1"/>
  <c r="I83" i="1"/>
  <c r="I85" i="1" s="1"/>
  <c r="H83" i="1"/>
  <c r="H85" i="1" s="1"/>
  <c r="G83" i="1"/>
  <c r="G85" i="1" s="1"/>
  <c r="B78" i="1"/>
  <c r="A78" i="1"/>
  <c r="F77" i="1"/>
  <c r="J74" i="1"/>
  <c r="I74" i="1"/>
  <c r="H74" i="1"/>
  <c r="G74" i="1"/>
  <c r="J73" i="1"/>
  <c r="I73" i="1"/>
  <c r="H73" i="1"/>
  <c r="G73" i="1"/>
  <c r="B68" i="1"/>
  <c r="A68" i="1"/>
  <c r="L67" i="1"/>
  <c r="F67" i="1"/>
  <c r="J67" i="1"/>
  <c r="I67" i="1"/>
  <c r="H67" i="1"/>
  <c r="G67" i="1"/>
  <c r="B59" i="1"/>
  <c r="A59" i="1"/>
  <c r="F58" i="1"/>
  <c r="B49" i="1"/>
  <c r="A49" i="1"/>
  <c r="F48" i="1"/>
  <c r="J46" i="1"/>
  <c r="I46" i="1"/>
  <c r="H46" i="1"/>
  <c r="G46" i="1"/>
  <c r="J45" i="1"/>
  <c r="I45" i="1"/>
  <c r="H45" i="1"/>
  <c r="G45" i="1"/>
  <c r="J43" i="1"/>
  <c r="I43" i="1"/>
  <c r="H43" i="1"/>
  <c r="G43" i="1"/>
  <c r="J42" i="1"/>
  <c r="I42" i="1"/>
  <c r="H42" i="1"/>
  <c r="H48" i="1" s="1"/>
  <c r="G42" i="1"/>
  <c r="G48" i="1" s="1"/>
  <c r="B40" i="1"/>
  <c r="A40" i="1"/>
  <c r="F39" i="1"/>
  <c r="J36" i="1"/>
  <c r="J39" i="1" s="1"/>
  <c r="I36" i="1"/>
  <c r="H36" i="1"/>
  <c r="H39" i="1" s="1"/>
  <c r="G36" i="1"/>
  <c r="G39" i="1" s="1"/>
  <c r="L30" i="1"/>
  <c r="F30" i="1"/>
  <c r="J30" i="1"/>
  <c r="I30" i="1"/>
  <c r="H30" i="1"/>
  <c r="G30" i="1"/>
  <c r="B23" i="1"/>
  <c r="A23" i="1"/>
  <c r="L22" i="1"/>
  <c r="F22" i="1"/>
  <c r="H22" i="1"/>
  <c r="J22" i="1"/>
  <c r="I22" i="1"/>
  <c r="B13" i="1"/>
  <c r="A13" i="1"/>
  <c r="F12" i="1"/>
  <c r="H12" i="1"/>
  <c r="J186" i="1" l="1"/>
  <c r="J187" i="1" s="1"/>
  <c r="H114" i="1"/>
  <c r="G132" i="1"/>
  <c r="F132" i="1"/>
  <c r="I186" i="1"/>
  <c r="I187" i="1" s="1"/>
  <c r="I48" i="1"/>
  <c r="I59" i="1" s="1"/>
  <c r="J48" i="1"/>
  <c r="I132" i="1"/>
  <c r="G187" i="1"/>
  <c r="F187" i="1"/>
  <c r="L187" i="1"/>
  <c r="L132" i="1"/>
  <c r="L114" i="1"/>
  <c r="G169" i="1"/>
  <c r="G96" i="1"/>
  <c r="I168" i="1"/>
  <c r="I169" i="1" s="1"/>
  <c r="F40" i="1"/>
  <c r="I39" i="1"/>
  <c r="I40" i="1" s="1"/>
  <c r="G140" i="1"/>
  <c r="G151" i="1" s="1"/>
  <c r="I140" i="1"/>
  <c r="I151" i="1" s="1"/>
  <c r="H168" i="1"/>
  <c r="H169" i="1" s="1"/>
  <c r="J168" i="1"/>
  <c r="J169" i="1" s="1"/>
  <c r="G22" i="1"/>
  <c r="H59" i="1"/>
  <c r="J58" i="1"/>
  <c r="H151" i="1"/>
  <c r="J140" i="1"/>
  <c r="J151" i="1" s="1"/>
  <c r="F151" i="1"/>
  <c r="L151" i="1"/>
  <c r="J114" i="1"/>
  <c r="J132" i="1"/>
  <c r="J12" i="1"/>
  <c r="J23" i="1" s="1"/>
  <c r="F78" i="1"/>
  <c r="G77" i="1"/>
  <c r="G78" i="1" s="1"/>
  <c r="I77" i="1"/>
  <c r="I78" i="1" s="1"/>
  <c r="G103" i="1"/>
  <c r="G114" i="1" s="1"/>
  <c r="H132" i="1"/>
  <c r="H187" i="1"/>
  <c r="H77" i="1"/>
  <c r="H78" i="1" s="1"/>
  <c r="J77" i="1"/>
  <c r="J78" i="1" s="1"/>
  <c r="F59" i="1"/>
  <c r="G58" i="1"/>
  <c r="G59" i="1" s="1"/>
  <c r="L78" i="1"/>
  <c r="H96" i="1"/>
  <c r="L96" i="1"/>
  <c r="F96" i="1"/>
  <c r="I95" i="1"/>
  <c r="I96" i="1" s="1"/>
  <c r="J96" i="1"/>
  <c r="L59" i="1"/>
  <c r="L40" i="1"/>
  <c r="G40" i="1"/>
  <c r="H40" i="1"/>
  <c r="J40" i="1"/>
  <c r="L23" i="1"/>
  <c r="F23" i="1"/>
  <c r="H23" i="1"/>
  <c r="I23" i="1"/>
  <c r="F188" i="1" l="1"/>
  <c r="J59" i="1"/>
  <c r="L188" i="1"/>
  <c r="I188" i="1"/>
  <c r="H188" i="1"/>
  <c r="J188" i="1"/>
  <c r="G23" i="1"/>
  <c r="G188" i="1" s="1"/>
</calcChain>
</file>

<file path=xl/sharedStrings.xml><?xml version="1.0" encoding="utf-8"?>
<sst xmlns="http://schemas.openxmlformats.org/spreadsheetml/2006/main" count="404" uniqueCount="158">
  <si>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</si>
  <si>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</si>
  <si>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</si>
  <si>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</si>
  <si>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</si>
  <si>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</si>
  <si>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</si>
  <si>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</si>
  <si>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</si>
  <si>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</si>
  <si>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</si>
  <si>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</si>
  <si>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</si>
  <si>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</si>
  <si>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</si>
  <si>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</si>
  <si>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</si>
  <si>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</si>
  <si>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</si>
  <si>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</si>
  <si>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</si>
  <si>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</si>
  <si>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</si>
  <si>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</si>
  <si>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</si>
  <si>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</si>
  <si>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хлеб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</si>
  <si>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</si>
  <si>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</si>
  <si>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</si>
  <si>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</si>
  <si>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</si>
  <si>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</si>
  <si>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</si>
  <si>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</si>
  <si>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</si>
  <si>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</si>
  <si>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</si>
  <si>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</si>
  <si>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</si>
  <si>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</si>
  <si>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</si>
  <si>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</si>
  <si>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</si>
  <si>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</si>
  <si>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</si>
  <si>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</si>
  <si>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Суп-лапша на куринном бульоне с зеленью</t>
  </si>
  <si>
    <t>Каша гречневая рассыпчатая</t>
  </si>
  <si>
    <t>Кисель из ягод</t>
  </si>
  <si>
    <t xml:space="preserve">Суп картофельный с рыбной консервой </t>
  </si>
  <si>
    <t>73</t>
  </si>
  <si>
    <t>Колбаски "Витаминные"</t>
  </si>
  <si>
    <t>64</t>
  </si>
  <si>
    <t>Компот из яблок и изюма</t>
  </si>
  <si>
    <t>23</t>
  </si>
  <si>
    <t>Картофельное пюре</t>
  </si>
  <si>
    <t>36.10</t>
  </si>
  <si>
    <t>32.1</t>
  </si>
  <si>
    <t xml:space="preserve">Плов </t>
  </si>
  <si>
    <t>Напиток из шиповника</t>
  </si>
  <si>
    <t>37.10</t>
  </si>
  <si>
    <t>Каша пшеничная молочная с маслом сливочным</t>
  </si>
  <si>
    <t>32.10</t>
  </si>
  <si>
    <t>фрукт</t>
  </si>
  <si>
    <t>18.2</t>
  </si>
  <si>
    <t>Чай каркаде</t>
  </si>
  <si>
    <t>27.11</t>
  </si>
  <si>
    <t>Бутерброд с маслом</t>
  </si>
  <si>
    <t>39.3</t>
  </si>
  <si>
    <t xml:space="preserve">Суфле из мяса кур </t>
  </si>
  <si>
    <t>Винегрет овощной</t>
  </si>
  <si>
    <t>Тефтели рыбные  в соусе</t>
  </si>
  <si>
    <t>Мясо кур отварное в соусе</t>
  </si>
  <si>
    <t>46.3</t>
  </si>
  <si>
    <t>38.2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</si>
  <si>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</si>
  <si>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</si>
  <si>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</si>
  <si>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</si>
  <si>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</si>
  <si>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</si>
  <si>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</si>
  <si>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</si>
  <si>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16.2</t>
  </si>
  <si>
    <t>16.81</t>
  </si>
  <si>
    <t>Суфле "Рыбка"</t>
  </si>
  <si>
    <t>Салат из отварной свеклы с растительным маслом</t>
  </si>
  <si>
    <t xml:space="preserve">хлеб </t>
  </si>
  <si>
    <t>29/2</t>
  </si>
  <si>
    <t>40/2</t>
  </si>
  <si>
    <t>Салат из св капусты с св огурцом с растител маслом и зеленью</t>
  </si>
  <si>
    <t>Председатель Правления ПК"СЫСЕРТСКОЕ РАЙПО"</t>
  </si>
  <si>
    <t>Шалапугина Н.В.</t>
  </si>
  <si>
    <t>40/3</t>
  </si>
  <si>
    <t>сладкое</t>
  </si>
  <si>
    <t>Тефтели мясные с рисом паровые</t>
  </si>
  <si>
    <t>Суп картофельный с макаронными изделиями и мясом</t>
  </si>
  <si>
    <t>Запеканка из творога с рисом со сгущенным молоком</t>
  </si>
  <si>
    <t>Суп крестьянский с крупой и сметаной и мясом</t>
  </si>
  <si>
    <t>16.4</t>
  </si>
  <si>
    <t>44240</t>
  </si>
  <si>
    <t>Салат из свежих овощей с маслом растительным и зеленью</t>
  </si>
  <si>
    <t>Суп картофельный с бобовыми</t>
  </si>
  <si>
    <t>Суп из овощей со сметаной и зеленью</t>
  </si>
  <si>
    <t>Какао на молоке</t>
  </si>
  <si>
    <t>Салат из картофеля с соленым огурцом,луком и растительным маслом</t>
  </si>
  <si>
    <t>41/1</t>
  </si>
  <si>
    <t>22.2</t>
  </si>
  <si>
    <t>Мясо, тушеное с овощами</t>
  </si>
  <si>
    <t>Чай с лимоном</t>
  </si>
  <si>
    <t>29.10</t>
  </si>
  <si>
    <t>Салат из белокачанной капусты с морковью и растительным маслом и зеленью</t>
  </si>
  <si>
    <t>44348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</si>
  <si>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</si>
  <si>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</si>
  <si>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</si>
  <si>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</si>
  <si>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</si>
  <si>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Борщ из капусты с картофелем, сметаной,мясом и зеленью</t>
  </si>
  <si>
    <t>Биточки из говядины паровые</t>
  </si>
  <si>
    <t>17/1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</si>
  <si>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</si>
  <si>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</si>
  <si>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</si>
  <si>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</si>
  <si>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</si>
  <si>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Рассольник с крупой,  сметаной, мясом и зеленью</t>
  </si>
  <si>
    <t>Компот из свежих фруктов</t>
  </si>
  <si>
    <t>44265</t>
  </si>
  <si>
    <t>Каша гречневая рассыпчатая с овощами</t>
  </si>
  <si>
    <t>Салат "Фантазия"</t>
  </si>
  <si>
    <t>Щи с капустой и картофелем со сметаной,мясом и зеленью</t>
  </si>
  <si>
    <t>13/1,1</t>
  </si>
  <si>
    <t>18.7</t>
  </si>
  <si>
    <t>44258</t>
  </si>
  <si>
    <t>948</t>
  </si>
  <si>
    <t>Чай ягодный</t>
  </si>
  <si>
    <t>Салат из огурцов и помидоров с маслом растительным и зеленью</t>
  </si>
  <si>
    <t>Рис припущенный</t>
  </si>
  <si>
    <t>Компот из кураги и изюма</t>
  </si>
  <si>
    <t>21/1</t>
  </si>
  <si>
    <t>305</t>
  </si>
  <si>
    <t>44510</t>
  </si>
  <si>
    <t>44417</t>
  </si>
  <si>
    <t>Салат из отварной свеклы с сыром и растительным маслом</t>
  </si>
  <si>
    <t>40</t>
  </si>
  <si>
    <t>12-18 лет</t>
  </si>
  <si>
    <t>36.81</t>
  </si>
  <si>
    <t>Яйцо отварное</t>
  </si>
  <si>
    <t>44202</t>
  </si>
  <si>
    <t>Салат из огурцов, помидор с растительным маслом и зеленью</t>
  </si>
  <si>
    <t>Салат из помидор, огурцов с растительным маслом</t>
  </si>
  <si>
    <t>Зеленый горошек</t>
  </si>
  <si>
    <t>Хлеб ржано-пшеничный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</si>
  <si>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</si>
  <si>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Салат из свежей капусты, огурца с растительным маслом и зеленью</t>
  </si>
  <si>
    <t>Суп-пюре картофельный с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</si>
</sst>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theme="1"/>
      <name val="Arial"/>
      <family val="2"/>
      <charset val="204"/>
    </font>
    <font>
      <sz val="11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2D2D2D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Calibri"/>
      <charset val="204"/>
      <scheme val="minor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2">
    <xf numFmtId="0" fontId="0" fillId="0" borderId="0"/>
    <xf numFmtId="0" fontId="22" fillId="0" borderId="0"/>
    <xf numFmtId="0" fontId="25" fillId="0" borderId="0"/>
    <xf numFmtId="0" fontId="26" fillId="0" borderId="0"/>
    <xf numFmtId="0" fontId="22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3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6"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/>
    <xf numFmtId="2" fontId="17" fillId="0" borderId="1" xfId="0" applyNumberFormat="1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/>
    <xf numFmtId="2" fontId="17" fillId="0" borderId="1" xfId="0" applyNumberFormat="1" applyFont="1" applyBorder="1" applyAlignment="1">
      <alignment horizontal="left" vertical="center"/>
    </xf>
    <xf numFmtId="2" fontId="16" fillId="0" borderId="1" xfId="0" applyNumberFormat="1" applyFont="1" applyBorder="1" applyAlignment="1">
      <alignment vertical="center" wrapText="1"/>
    </xf>
    <xf numFmtId="0" fontId="15" fillId="0" borderId="13" xfId="0" applyFont="1" applyBorder="1" applyAlignment="1">
      <alignment horizontal="center"/>
    </xf>
    <xf numFmtId="0" fontId="15" fillId="0" borderId="2" xfId="0" applyFont="1" applyBorder="1"/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5" xfId="0" applyFont="1" applyBorder="1"/>
    <xf numFmtId="0" fontId="15" fillId="0" borderId="11" xfId="0" applyFont="1" applyBorder="1" applyAlignment="1">
      <alignment horizontal="center"/>
    </xf>
    <xf numFmtId="2" fontId="16" fillId="0" borderId="1" xfId="0" applyNumberFormat="1" applyFont="1" applyBorder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2" fontId="17" fillId="0" borderId="1" xfId="0" applyNumberFormat="1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17" fillId="0" borderId="1" xfId="0" applyNumberFormat="1" applyFont="1" applyBorder="1" applyAlignment="1">
      <alignment horizontal="left" vertical="center" wrapText="1"/>
    </xf>
    <xf numFmtId="0" fontId="8" fillId="0" borderId="0" xfId="0" applyFont="1" applyBorder="1"/>
    <xf numFmtId="2" fontId="16" fillId="0" borderId="0" xfId="0" applyNumberFormat="1" applyFont="1" applyBorder="1" applyAlignment="1">
      <alignment horizontal="left" vertical="center" wrapText="1"/>
    </xf>
    <xf numFmtId="2" fontId="17" fillId="0" borderId="0" xfId="0" applyNumberFormat="1" applyFont="1" applyBorder="1" applyAlignment="1">
      <alignment horizontal="left" vertical="center"/>
    </xf>
    <xf numFmtId="2" fontId="18" fillId="2" borderId="0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 applyBorder="1" applyAlignment="1">
      <alignment horizontal="left" vertical="center"/>
    </xf>
    <xf numFmtId="2" fontId="17" fillId="0" borderId="0" xfId="0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2" fontId="21" fillId="0" borderId="0" xfId="0" applyNumberFormat="1" applyFont="1" applyFill="1" applyBorder="1" applyAlignment="1">
      <alignment horizontal="left" vertical="center"/>
    </xf>
    <xf numFmtId="0" fontId="15" fillId="0" borderId="1" xfId="0" applyFont="1" applyFill="1" applyBorder="1" applyProtection="1">
      <protection locked="0"/>
    </xf>
    <xf numFmtId="0" fontId="8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4" fillId="0" borderId="4" xfId="0" applyFont="1" applyFill="1" applyBorder="1" applyAlignment="1">
      <alignment horizontal="center" vertical="center" wrapText="1"/>
    </xf>
    <xf numFmtId="0" fontId="15" fillId="0" borderId="8" xfId="0" applyFont="1" applyFill="1" applyBorder="1"/>
    <xf numFmtId="0" fontId="15" fillId="0" borderId="1" xfId="0" applyFont="1" applyFill="1" applyBorder="1"/>
    <xf numFmtId="0" fontId="23" fillId="0" borderId="0" xfId="0" applyFont="1"/>
    <xf numFmtId="49" fontId="29" fillId="0" borderId="0" xfId="0" applyNumberFormat="1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/>
    </xf>
    <xf numFmtId="0" fontId="15" fillId="5" borderId="13" xfId="0" applyFont="1" applyFill="1" applyBorder="1" applyAlignment="1">
      <alignment horizontal="center"/>
    </xf>
    <xf numFmtId="0" fontId="15" fillId="5" borderId="2" xfId="0" applyFont="1" applyFill="1" applyBorder="1"/>
    <xf numFmtId="0" fontId="19" fillId="5" borderId="1" xfId="0" applyFont="1" applyFill="1" applyBorder="1" applyAlignment="1" applyProtection="1">
      <alignment horizontal="right"/>
      <protection locked="0"/>
    </xf>
    <xf numFmtId="0" fontId="15" fillId="5" borderId="16" xfId="0" applyFont="1" applyFill="1" applyBorder="1" applyAlignment="1">
      <alignment horizontal="center"/>
    </xf>
    <xf numFmtId="0" fontId="15" fillId="5" borderId="17" xfId="0" applyFont="1" applyFill="1" applyBorder="1" applyAlignment="1">
      <alignment horizontal="center"/>
    </xf>
    <xf numFmtId="2" fontId="17" fillId="6" borderId="1" xfId="0" applyNumberFormat="1" applyFont="1" applyFill="1" applyBorder="1" applyAlignment="1">
      <alignment horizontal="left" vertical="center"/>
    </xf>
    <xf numFmtId="0" fontId="8" fillId="5" borderId="0" xfId="0" applyFont="1" applyFill="1"/>
    <xf numFmtId="0" fontId="15" fillId="7" borderId="12" xfId="0" applyFont="1" applyFill="1" applyBorder="1" applyAlignment="1">
      <alignment horizontal="center"/>
    </xf>
    <xf numFmtId="0" fontId="15" fillId="7" borderId="13" xfId="0" applyFont="1" applyFill="1" applyBorder="1" applyAlignment="1">
      <alignment horizontal="center"/>
    </xf>
    <xf numFmtId="0" fontId="15" fillId="7" borderId="2" xfId="0" applyFont="1" applyFill="1" applyBorder="1"/>
    <xf numFmtId="0" fontId="19" fillId="7" borderId="1" xfId="0" applyFont="1" applyFill="1" applyBorder="1" applyAlignment="1" applyProtection="1">
      <alignment horizontal="right"/>
      <protection locked="0"/>
    </xf>
    <xf numFmtId="0" fontId="15" fillId="7" borderId="16" xfId="0" applyFont="1" applyFill="1" applyBorder="1" applyAlignment="1">
      <alignment horizontal="center"/>
    </xf>
    <xf numFmtId="0" fontId="15" fillId="7" borderId="17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wrapText="1"/>
    </xf>
    <xf numFmtId="2" fontId="16" fillId="0" borderId="1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5" fillId="2" borderId="0" xfId="0" applyFont="1" applyFill="1" applyBorder="1" applyAlignment="1" applyProtection="1">
      <alignment wrapText="1"/>
      <protection locked="0"/>
    </xf>
    <xf numFmtId="0" fontId="15" fillId="0" borderId="0" xfId="0" applyFont="1" applyFill="1" applyBorder="1" applyAlignment="1">
      <alignment horizontal="left" vertical="center" wrapText="1"/>
    </xf>
    <xf numFmtId="0" fontId="16" fillId="0" borderId="1" xfId="2" applyFont="1" applyBorder="1" applyAlignment="1">
      <alignment horizontal="left" vertical="center" wrapText="1"/>
    </xf>
    <xf numFmtId="2" fontId="16" fillId="0" borderId="1" xfId="2" applyNumberFormat="1" applyFont="1" applyBorder="1" applyAlignment="1">
      <alignment vertical="center" wrapText="1"/>
    </xf>
    <xf numFmtId="2" fontId="16" fillId="0" borderId="1" xfId="2" applyNumberFormat="1" applyFont="1" applyBorder="1" applyAlignment="1">
      <alignment horizontal="left" vertical="center" wrapText="1"/>
    </xf>
    <xf numFmtId="2" fontId="17" fillId="0" borderId="1" xfId="2" applyNumberFormat="1" applyFont="1" applyBorder="1" applyAlignment="1">
      <alignment horizontal="left" vertical="center"/>
    </xf>
    <xf numFmtId="2" fontId="16" fillId="0" borderId="0" xfId="2" applyNumberFormat="1" applyFont="1" applyAlignment="1">
      <alignment horizontal="left" vertical="center" wrapText="1"/>
    </xf>
    <xf numFmtId="49" fontId="16" fillId="0" borderId="1" xfId="2" applyNumberFormat="1" applyFont="1" applyFill="1" applyBorder="1" applyAlignment="1">
      <alignment horizontal="center" vertical="center"/>
    </xf>
    <xf numFmtId="2" fontId="16" fillId="0" borderId="1" xfId="2" applyNumberFormat="1" applyFont="1" applyFill="1" applyBorder="1" applyAlignment="1">
      <alignment vertical="center" wrapText="1"/>
    </xf>
    <xf numFmtId="2" fontId="17" fillId="0" borderId="1" xfId="2" applyNumberFormat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/>
    </xf>
    <xf numFmtId="2" fontId="16" fillId="0" borderId="1" xfId="2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vertical="top" wrapText="1"/>
      <protection locked="0"/>
    </xf>
    <xf numFmtId="2" fontId="21" fillId="0" borderId="1" xfId="0" applyNumberFormat="1" applyFont="1" applyFill="1" applyBorder="1" applyAlignment="1" applyProtection="1">
      <alignment horizontal="left" vertical="top" wrapText="1"/>
      <protection locked="0"/>
    </xf>
    <xf numFmtId="2" fontId="21" fillId="0" borderId="1" xfId="0" applyNumberFormat="1" applyFont="1" applyFill="1" applyBorder="1" applyAlignment="1" applyProtection="1">
      <alignment horizontal="center" vertical="top" wrapText="1"/>
      <protection locked="0"/>
    </xf>
    <xf numFmtId="49" fontId="16" fillId="0" borderId="1" xfId="2" applyNumberFormat="1" applyFont="1" applyBorder="1" applyAlignment="1">
      <alignment horizontal="left" vertical="center" wrapText="1"/>
    </xf>
    <xf numFmtId="49" fontId="16" fillId="0" borderId="23" xfId="0" applyNumberFormat="1" applyFont="1" applyFill="1" applyBorder="1" applyAlignment="1">
      <alignment horizontal="center" vertical="center"/>
    </xf>
    <xf numFmtId="2" fontId="17" fillId="0" borderId="1" xfId="2" applyNumberFormat="1" applyFont="1" applyBorder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0" fontId="16" fillId="0" borderId="1" xfId="2" applyFont="1" applyFill="1" applyBorder="1" applyAlignment="1">
      <alignment horizontal="left" vertical="center" wrapText="1"/>
    </xf>
    <xf numFmtId="0" fontId="16" fillId="3" borderId="1" xfId="2" applyFont="1" applyFill="1" applyBorder="1" applyAlignment="1">
      <alignment horizontal="left" vertical="center" wrapText="1"/>
    </xf>
    <xf numFmtId="2" fontId="17" fillId="3" borderId="1" xfId="2" applyNumberFormat="1" applyFont="1" applyFill="1" applyBorder="1" applyAlignment="1">
      <alignment horizontal="left" vertical="center"/>
    </xf>
    <xf numFmtId="49" fontId="15" fillId="0" borderId="22" xfId="0" applyNumberFormat="1" applyFont="1" applyFill="1" applyBorder="1" applyAlignment="1" applyProtection="1">
      <alignment horizontal="center" vertical="top" wrapText="1"/>
      <protection locked="0"/>
    </xf>
    <xf numFmtId="0" fontId="30" fillId="0" borderId="3" xfId="0" applyFont="1" applyBorder="1"/>
    <xf numFmtId="0" fontId="30" fillId="0" borderId="4" xfId="0" applyFont="1" applyBorder="1"/>
    <xf numFmtId="2" fontId="31" fillId="0" borderId="4" xfId="0" applyNumberFormat="1" applyFont="1" applyBorder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left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wrapText="1"/>
    </xf>
    <xf numFmtId="49" fontId="15" fillId="0" borderId="21" xfId="0" applyNumberFormat="1" applyFont="1" applyFill="1" applyBorder="1" applyAlignment="1" applyProtection="1">
      <alignment horizontal="center" vertical="top" wrapText="1"/>
      <protection locked="0"/>
    </xf>
    <xf numFmtId="0" fontId="15" fillId="4" borderId="1" xfId="0" applyFont="1" applyFill="1" applyBorder="1" applyAlignment="1" applyProtection="1">
      <alignment vertical="top" wrapText="1"/>
      <protection locked="0"/>
    </xf>
    <xf numFmtId="0" fontId="15" fillId="5" borderId="1" xfId="0" applyFont="1" applyFill="1" applyBorder="1" applyAlignment="1">
      <alignment vertical="top" wrapText="1"/>
    </xf>
    <xf numFmtId="2" fontId="21" fillId="5" borderId="1" xfId="0" applyNumberFormat="1" applyFont="1" applyFill="1" applyBorder="1" applyAlignment="1">
      <alignment horizontal="center" vertical="top" wrapText="1"/>
    </xf>
    <xf numFmtId="0" fontId="15" fillId="5" borderId="17" xfId="0" applyFont="1" applyFill="1" applyBorder="1" applyAlignment="1">
      <alignment vertical="top" wrapText="1"/>
    </xf>
    <xf numFmtId="2" fontId="21" fillId="5" borderId="17" xfId="0" applyNumberFormat="1" applyFont="1" applyFill="1" applyBorder="1" applyAlignment="1">
      <alignment horizontal="center" vertical="top" wrapText="1"/>
    </xf>
    <xf numFmtId="2" fontId="2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5" fillId="7" borderId="1" xfId="0" applyFont="1" applyFill="1" applyBorder="1" applyAlignment="1">
      <alignment vertical="top" wrapText="1"/>
    </xf>
    <xf numFmtId="2" fontId="21" fillId="7" borderId="1" xfId="0" applyNumberFormat="1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vertical="top" wrapText="1"/>
    </xf>
    <xf numFmtId="2" fontId="21" fillId="7" borderId="17" xfId="0" applyNumberFormat="1" applyFont="1" applyFill="1" applyBorder="1" applyAlignment="1">
      <alignment horizontal="center" vertical="top" wrapText="1"/>
    </xf>
    <xf numFmtId="2" fontId="2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1" xfId="0" applyNumberFormat="1" applyFont="1" applyFill="1" applyBorder="1" applyAlignment="1" applyProtection="1">
      <alignment horizontal="left" vertical="top" wrapText="1"/>
      <protection locked="0"/>
    </xf>
    <xf numFmtId="2" fontId="21" fillId="2" borderId="8" xfId="0" applyNumberFormat="1" applyFont="1" applyFill="1" applyBorder="1" applyAlignment="1" applyProtection="1">
      <alignment horizontal="left" vertical="top" wrapText="1"/>
      <protection locked="0"/>
    </xf>
    <xf numFmtId="49" fontId="15" fillId="0" borderId="22" xfId="0" applyNumberFormat="1" applyFont="1" applyFill="1" applyBorder="1" applyAlignment="1" applyProtection="1">
      <alignment horizontal="left" vertical="top" wrapText="1"/>
      <protection locked="0"/>
    </xf>
    <xf numFmtId="2" fontId="21" fillId="2" borderId="1" xfId="0" applyNumberFormat="1" applyFont="1" applyFill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>
      <alignment horizontal="left" vertical="center" wrapText="1"/>
    </xf>
    <xf numFmtId="2" fontId="21" fillId="5" borderId="1" xfId="0" applyNumberFormat="1" applyFont="1" applyFill="1" applyBorder="1" applyAlignment="1">
      <alignment horizontal="left" vertical="top" wrapText="1"/>
    </xf>
    <xf numFmtId="2" fontId="21" fillId="2" borderId="21" xfId="0" applyNumberFormat="1" applyFont="1" applyFill="1" applyBorder="1" applyAlignment="1" applyProtection="1">
      <alignment horizontal="left" vertical="top" wrapText="1"/>
      <protection locked="0"/>
    </xf>
    <xf numFmtId="2" fontId="21" fillId="2" borderId="22" xfId="0" applyNumberFormat="1" applyFont="1" applyFill="1" applyBorder="1" applyAlignment="1" applyProtection="1">
      <alignment horizontal="left" vertical="top" wrapText="1"/>
      <protection locked="0"/>
    </xf>
    <xf numFmtId="0" fontId="21" fillId="5" borderId="1" xfId="0" applyFont="1" applyFill="1" applyBorder="1" applyAlignment="1">
      <alignment horizontal="left" vertical="top" wrapText="1"/>
    </xf>
    <xf numFmtId="0" fontId="21" fillId="5" borderId="17" xfId="0" applyFont="1" applyFill="1" applyBorder="1" applyAlignment="1">
      <alignment horizontal="left" vertical="top" wrapText="1"/>
    </xf>
    <xf numFmtId="2" fontId="21" fillId="6" borderId="1" xfId="0" applyNumberFormat="1" applyFont="1" applyFill="1" applyBorder="1" applyAlignment="1" applyProtection="1">
      <alignment horizontal="left" vertical="top" wrapText="1"/>
      <protection locked="0"/>
    </xf>
    <xf numFmtId="2" fontId="21" fillId="5" borderId="17" xfId="0" applyNumberFormat="1" applyFont="1" applyFill="1" applyBorder="1" applyAlignment="1">
      <alignment horizontal="left" vertical="top" wrapText="1"/>
    </xf>
    <xf numFmtId="2" fontId="21" fillId="7" borderId="1" xfId="0" applyNumberFormat="1" applyFont="1" applyFill="1" applyBorder="1" applyAlignment="1">
      <alignment horizontal="left" vertical="top" wrapText="1"/>
    </xf>
    <xf numFmtId="2" fontId="21" fillId="7" borderId="17" xfId="0" applyNumberFormat="1" applyFont="1" applyFill="1" applyBorder="1" applyAlignment="1">
      <alignment horizontal="left" vertical="top" wrapText="1"/>
    </xf>
    <xf numFmtId="2" fontId="31" fillId="0" borderId="4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8" fillId="2" borderId="0" xfId="0" applyFont="1" applyFill="1" applyBorder="1" applyAlignment="1" applyProtection="1">
      <alignment horizontal="left" vertical="top" wrapText="1"/>
      <protection locked="0"/>
    </xf>
    <xf numFmtId="2" fontId="21" fillId="4" borderId="1" xfId="0" applyNumberFormat="1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vertical="center"/>
      <protection locked="0"/>
    </xf>
    <xf numFmtId="49" fontId="15" fillId="5" borderId="22" xfId="0" applyNumberFormat="1" applyFont="1" applyFill="1" applyBorder="1" applyAlignment="1">
      <alignment horizontal="center" vertical="top" wrapText="1"/>
    </xf>
    <xf numFmtId="49" fontId="15" fillId="5" borderId="22" xfId="0" applyNumberFormat="1" applyFont="1" applyFill="1" applyBorder="1" applyAlignment="1">
      <alignment horizontal="left" vertical="top" wrapText="1"/>
    </xf>
    <xf numFmtId="49" fontId="15" fillId="7" borderId="22" xfId="0" applyNumberFormat="1" applyFont="1" applyFill="1" applyBorder="1" applyAlignment="1">
      <alignment horizontal="center" vertical="top" wrapText="1"/>
    </xf>
    <xf numFmtId="0" fontId="15" fillId="7" borderId="1" xfId="0" applyFont="1" applyFill="1" applyBorder="1" applyAlignment="1">
      <alignment horizontal="left" vertical="top" wrapText="1"/>
    </xf>
    <xf numFmtId="49" fontId="15" fillId="7" borderId="22" xfId="0" applyNumberFormat="1" applyFont="1" applyFill="1" applyBorder="1" applyAlignment="1">
      <alignment horizontal="left" vertical="top" wrapText="1"/>
    </xf>
    <xf numFmtId="49" fontId="27" fillId="0" borderId="0" xfId="0" applyNumberFormat="1" applyFont="1" applyFill="1" applyBorder="1" applyAlignment="1" applyProtection="1">
      <alignment horizontal="center"/>
    </xf>
    <xf numFmtId="49" fontId="27" fillId="0" borderId="0" xfId="0" applyNumberFormat="1" applyFont="1" applyAlignment="1">
      <alignment horizontal="center"/>
    </xf>
    <xf numFmtId="49" fontId="28" fillId="0" borderId="20" xfId="0" applyNumberFormat="1" applyFont="1" applyFill="1" applyBorder="1" applyAlignment="1">
      <alignment horizontal="center" vertical="center" wrapText="1"/>
    </xf>
    <xf numFmtId="49" fontId="15" fillId="5" borderId="17" xfId="0" applyNumberFormat="1" applyFont="1" applyFill="1" applyBorder="1" applyAlignment="1">
      <alignment horizontal="center" vertical="top" wrapText="1"/>
    </xf>
    <xf numFmtId="49" fontId="15" fillId="5" borderId="17" xfId="0" applyNumberFormat="1" applyFont="1" applyFill="1" applyBorder="1" applyAlignment="1">
      <alignment horizontal="left" vertical="top" wrapText="1"/>
    </xf>
    <xf numFmtId="49" fontId="15" fillId="7" borderId="17" xfId="0" applyNumberFormat="1" applyFont="1" applyFill="1" applyBorder="1" applyAlignment="1">
      <alignment horizontal="center" vertical="top" wrapText="1"/>
    </xf>
    <xf numFmtId="49" fontId="30" fillId="0" borderId="4" xfId="0" applyNumberFormat="1" applyFont="1" applyFill="1" applyBorder="1" applyAlignment="1">
      <alignment horizontal="center"/>
    </xf>
    <xf numFmtId="49" fontId="30" fillId="0" borderId="0" xfId="0" applyNumberFormat="1" applyFont="1" applyFill="1" applyAlignment="1">
      <alignment horizontal="center"/>
    </xf>
    <xf numFmtId="49" fontId="27" fillId="0" borderId="0" xfId="0" applyNumberFormat="1" applyFont="1" applyFill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 applyProtection="1">
      <alignment horizontal="center" vertical="top" wrapText="1"/>
      <protection locked="0"/>
    </xf>
    <xf numFmtId="0" fontId="33" fillId="4" borderId="26" xfId="0" applyFont="1" applyFill="1" applyBorder="1"/>
    <xf numFmtId="0" fontId="33" fillId="4" borderId="0" xfId="0" applyFont="1" applyFill="1" applyBorder="1"/>
    <xf numFmtId="2" fontId="15" fillId="0" borderId="27" xfId="1" applyNumberFormat="1" applyFont="1" applyFill="1" applyBorder="1" applyAlignment="1">
      <alignment horizontal="left" vertical="center"/>
    </xf>
    <xf numFmtId="2" fontId="15" fillId="0" borderId="27" xfId="1" applyNumberFormat="1" applyFont="1" applyBorder="1" applyAlignment="1">
      <alignment horizontal="left" vertical="center"/>
    </xf>
    <xf numFmtId="2" fontId="21" fillId="0" borderId="27" xfId="1" applyNumberFormat="1" applyFont="1" applyFill="1" applyBorder="1" applyAlignment="1">
      <alignment horizontal="left" vertical="center"/>
    </xf>
    <xf numFmtId="2" fontId="15" fillId="3" borderId="27" xfId="1" applyNumberFormat="1" applyFont="1" applyFill="1" applyBorder="1" applyAlignment="1">
      <alignment horizontal="left" vertical="center"/>
    </xf>
    <xf numFmtId="0" fontId="8" fillId="4" borderId="0" xfId="0" applyFont="1" applyFill="1"/>
    <xf numFmtId="0" fontId="15" fillId="4" borderId="1" xfId="0" applyFont="1" applyFill="1" applyBorder="1" applyProtection="1">
      <protection locked="0"/>
    </xf>
    <xf numFmtId="2" fontId="17" fillId="0" borderId="24" xfId="0" applyNumberFormat="1" applyFont="1" applyBorder="1" applyAlignment="1">
      <alignment horizontal="left" vertical="center"/>
    </xf>
    <xf numFmtId="2" fontId="21" fillId="7" borderId="24" xfId="0" applyNumberFormat="1" applyFont="1" applyFill="1" applyBorder="1" applyAlignment="1">
      <alignment horizontal="left" vertical="top" wrapText="1"/>
    </xf>
    <xf numFmtId="2" fontId="21" fillId="2" borderId="24" xfId="0" applyNumberFormat="1" applyFont="1" applyFill="1" applyBorder="1" applyAlignment="1" applyProtection="1">
      <alignment horizontal="left" vertical="top" wrapText="1"/>
      <protection locked="0"/>
    </xf>
    <xf numFmtId="2" fontId="35" fillId="0" borderId="0" xfId="11" applyNumberFormat="1" applyFont="1" applyBorder="1" applyAlignment="1">
      <alignment horizontal="left" vertical="center"/>
    </xf>
    <xf numFmtId="2" fontId="21" fillId="0" borderId="24" xfId="0" applyNumberFormat="1" applyFont="1" applyFill="1" applyBorder="1" applyAlignment="1" applyProtection="1">
      <alignment horizontal="left" vertical="top" wrapText="1"/>
      <protection locked="0"/>
    </xf>
    <xf numFmtId="2" fontId="35" fillId="4" borderId="0" xfId="11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/>
    </xf>
    <xf numFmtId="2" fontId="21" fillId="7" borderId="18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4" fillId="2" borderId="24" xfId="0" applyFont="1" applyFill="1" applyBorder="1" applyAlignment="1" applyProtection="1">
      <alignment horizontal="left" wrapText="1"/>
      <protection locked="0"/>
    </xf>
    <xf numFmtId="0" fontId="8" fillId="2" borderId="23" xfId="0" applyFont="1" applyFill="1" applyBorder="1" applyAlignment="1" applyProtection="1">
      <alignment horizontal="left" wrapText="1"/>
      <protection locked="0"/>
    </xf>
    <xf numFmtId="0" fontId="8" fillId="2" borderId="25" xfId="0" applyFont="1" applyFill="1" applyBorder="1" applyAlignment="1" applyProtection="1">
      <alignment horizontal="left" wrapText="1"/>
      <protection locked="0"/>
    </xf>
    <xf numFmtId="0" fontId="24" fillId="2" borderId="1" xfId="0" applyFont="1" applyFill="1" applyBorder="1" applyAlignment="1" applyProtection="1">
      <alignment horizontal="left" wrapText="1"/>
      <protection locked="0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20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1" fillId="7" borderId="19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</cellXfs>
  <cellStyles count="22">
    <cellStyle name="Обычный" xfId="0" builtinId="0"/>
    <cellStyle name="Обычный 2" xfId="1"/>
    <cellStyle name="Обычный 2 2" xfId="3"/>
    <cellStyle name="Обычный 2 3" xfId="12"/>
    <cellStyle name="Обычный 3" xfId="4"/>
    <cellStyle name="Обычный 3 2" xfId="5"/>
    <cellStyle name="Обычный 3 2 2" xfId="19"/>
    <cellStyle name="Обычный 3 2 3" xfId="14"/>
    <cellStyle name="Обычный 3 3" xfId="6"/>
    <cellStyle name="Обычный 3 3 2" xfId="20"/>
    <cellStyle name="Обычный 3 3 3" xfId="15"/>
    <cellStyle name="Обычный 3 4" xfId="7"/>
    <cellStyle name="Обычный 3 4 2" xfId="21"/>
    <cellStyle name="Обычный 3 4 3" xfId="16"/>
    <cellStyle name="Обычный 3 5" xfId="8"/>
    <cellStyle name="Обычный 3 5 2" xfId="18"/>
    <cellStyle name="Обычный 3 6" xfId="9"/>
    <cellStyle name="Обычный 3 7" xfId="10"/>
    <cellStyle name="Обычный 3 8" xfId="13"/>
    <cellStyle name="Обычный 4" xfId="2"/>
    <cellStyle name="Обычный 4 2" xfId="17"/>
    <cellStyle name="Обычный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6"/>
  <sheetViews>
    <sheetView tabSelected="1" topLeftCell="A157" zoomScale="85" zoomScaleNormal="85" workbookViewId="0">
      <selection activeCell="F188" sqref="F188"/>
    </sheetView>
  </sheetViews>
  <sheetFormatPr defaultRowHeight="14.25"/>
  <cols>
    <col min="1" max="1" width="4.7109375" style="1" customWidth="1"/>
    <col min="2" max="2" width="5.28515625" style="1" customWidth="1"/>
    <col min="3" max="3" width="9.28515625" style="2" customWidth="1"/>
    <col min="4" max="4" width="13.28515625" style="42" customWidth="1"/>
    <col min="5" max="5" width="42.7109375" style="67" customWidth="1"/>
    <col min="6" max="6" width="10.42578125" style="1" customWidth="1"/>
    <col min="7" max="7" width="11.28515625" style="1" customWidth="1"/>
    <col min="8" max="8" width="7.5703125" style="1" customWidth="1"/>
    <col min="9" max="9" width="9.28515625" style="1" customWidth="1"/>
    <col min="10" max="10" width="9.85546875" style="1" customWidth="1"/>
    <col min="11" max="11" width="10.5703125" style="138" customWidth="1"/>
    <col min="12" max="12" width="9.5703125" style="2" customWidth="1"/>
    <col min="13" max="16384" width="9.140625" style="1"/>
  </cols>
  <sheetData>
    <row r="1" spans="1:13" ht="25.5" customHeight="1">
      <c r="A1" s="2" t="s">
        <v>0</v>
      </c>
      <c r="C1" s="164"/>
      <c r="D1" s="165"/>
      <c r="E1" s="165"/>
      <c r="F1" s="3" t="s">
        <v>1</v>
      </c>
      <c r="G1" s="1" t="s">
        <v>2</v>
      </c>
      <c r="H1" s="166" t="s">
        <v>92</v>
      </c>
      <c r="I1" s="167"/>
      <c r="J1" s="167"/>
      <c r="K1" s="168"/>
    </row>
    <row r="2" spans="1:13" ht="18">
      <c r="A2" s="4" t="s">
        <v>3</v>
      </c>
      <c r="C2" s="1"/>
      <c r="G2" s="1" t="s">
        <v>4</v>
      </c>
      <c r="H2" s="169" t="s">
        <v>93</v>
      </c>
      <c r="I2" s="170"/>
      <c r="J2" s="170"/>
      <c r="K2" s="170"/>
    </row>
    <row r="3" spans="1:13" ht="17.25" customHeight="1">
      <c r="A3" s="5" t="s">
        <v>5</v>
      </c>
      <c r="C3" s="1"/>
      <c r="D3" s="43"/>
      <c r="E3" s="66" t="s">
        <v>147</v>
      </c>
      <c r="G3" s="1" t="s">
        <v>6</v>
      </c>
      <c r="H3" s="6">
        <v>1</v>
      </c>
      <c r="I3" s="6">
        <v>9</v>
      </c>
      <c r="J3" s="31">
        <v>2025</v>
      </c>
      <c r="K3" s="137"/>
    </row>
    <row r="4" spans="1:13" ht="15" thickBot="1">
      <c r="C4" s="1"/>
      <c r="D4" s="44"/>
      <c r="H4" s="7" t="s">
        <v>7</v>
      </c>
      <c r="I4" s="7" t="s">
        <v>8</v>
      </c>
      <c r="J4" s="7" t="s">
        <v>9</v>
      </c>
    </row>
    <row r="5" spans="1:13" ht="43.5" thickBot="1">
      <c r="A5" s="8" t="s">
        <v>10</v>
      </c>
      <c r="B5" s="9" t="s">
        <v>11</v>
      </c>
      <c r="C5" s="10" t="s">
        <v>12</v>
      </c>
      <c r="D5" s="45" t="s">
        <v>13</v>
      </c>
      <c r="E5" s="10" t="s">
        <v>14</v>
      </c>
      <c r="F5" s="10" t="s">
        <v>15</v>
      </c>
      <c r="G5" s="10" t="s">
        <v>16</v>
      </c>
      <c r="H5" s="10" t="s">
        <v>17</v>
      </c>
      <c r="I5" s="10" t="s">
        <v>18</v>
      </c>
      <c r="J5" s="10" t="s">
        <v>19</v>
      </c>
      <c r="K5" s="139" t="s">
        <v>20</v>
      </c>
      <c r="L5" s="117" t="s">
        <v>21</v>
      </c>
    </row>
    <row r="6" spans="1:13" ht="31.5">
      <c r="A6" s="11">
        <v>1</v>
      </c>
      <c r="B6" s="12">
        <v>1</v>
      </c>
      <c r="C6" s="13" t="s">
        <v>22</v>
      </c>
      <c r="D6" s="46" t="s">
        <v>23</v>
      </c>
      <c r="E6" s="75" t="s">
        <v>62</v>
      </c>
      <c r="F6" s="14">
        <v>200</v>
      </c>
      <c r="G6" s="76">
        <f>7.4*F6/200</f>
        <v>7.4</v>
      </c>
      <c r="H6" s="76">
        <f>11.4*F6/200</f>
        <v>11.4</v>
      </c>
      <c r="I6" s="76">
        <f>31.3*F6/200</f>
        <v>31.3</v>
      </c>
      <c r="J6" s="76">
        <f>257.8*F6/200</f>
        <v>257.8</v>
      </c>
      <c r="K6" s="113" t="s">
        <v>100</v>
      </c>
      <c r="L6" s="114">
        <v>27.27</v>
      </c>
    </row>
    <row r="7" spans="1:13" ht="15.75">
      <c r="A7" s="15"/>
      <c r="B7" s="16"/>
      <c r="C7" s="17"/>
      <c r="D7" s="41" t="s">
        <v>64</v>
      </c>
      <c r="E7" s="74" t="s">
        <v>82</v>
      </c>
      <c r="F7" s="18">
        <v>100</v>
      </c>
      <c r="G7" s="18">
        <f>F7*0.4/100</f>
        <v>0.4</v>
      </c>
      <c r="H7" s="18">
        <f>F7*0.4/100</f>
        <v>0.4</v>
      </c>
      <c r="I7" s="18">
        <f>F7*10.95/100</f>
        <v>10.95</v>
      </c>
      <c r="J7" s="18">
        <f>F7*49/100</f>
        <v>49</v>
      </c>
      <c r="K7" s="115" t="s">
        <v>27</v>
      </c>
      <c r="L7" s="116">
        <v>35.159999999999997</v>
      </c>
    </row>
    <row r="8" spans="1:13" ht="15.75">
      <c r="A8" s="15"/>
      <c r="B8" s="16"/>
      <c r="C8" s="17"/>
      <c r="D8" s="47" t="s">
        <v>24</v>
      </c>
      <c r="E8" s="74" t="s">
        <v>25</v>
      </c>
      <c r="F8" s="14">
        <v>200</v>
      </c>
      <c r="G8" s="14">
        <v>3.1</v>
      </c>
      <c r="H8" s="14">
        <v>3.2</v>
      </c>
      <c r="I8" s="14">
        <v>14.4</v>
      </c>
      <c r="J8" s="14">
        <v>99</v>
      </c>
      <c r="K8" s="115" t="s">
        <v>63</v>
      </c>
      <c r="L8" s="116">
        <v>15.53</v>
      </c>
    </row>
    <row r="9" spans="1:13" ht="15.75">
      <c r="A9" s="15"/>
      <c r="B9" s="16"/>
      <c r="C9" s="17"/>
      <c r="D9" s="47" t="s">
        <v>26</v>
      </c>
      <c r="E9" s="75" t="s">
        <v>28</v>
      </c>
      <c r="F9" s="14">
        <v>50</v>
      </c>
      <c r="G9" s="14">
        <f>F9*6.1/50</f>
        <v>6.1</v>
      </c>
      <c r="H9" s="14">
        <f>F9*3.7/50</f>
        <v>3.7</v>
      </c>
      <c r="I9" s="14">
        <f>F9*17.5/50</f>
        <v>17.5</v>
      </c>
      <c r="J9" s="14">
        <f>F9*127.7/50</f>
        <v>127.7</v>
      </c>
      <c r="K9" s="115" t="s">
        <v>101</v>
      </c>
      <c r="L9" s="116">
        <v>51.14</v>
      </c>
    </row>
    <row r="10" spans="1:13" ht="15.75">
      <c r="A10" s="15"/>
      <c r="B10" s="16"/>
      <c r="C10" s="17"/>
      <c r="D10" s="47" t="s">
        <v>39</v>
      </c>
      <c r="E10" s="19" t="s">
        <v>154</v>
      </c>
      <c r="F10" s="18">
        <v>50</v>
      </c>
      <c r="G10" s="18">
        <f>SUM(F10*1.68/30)</f>
        <v>2.8</v>
      </c>
      <c r="H10" s="18">
        <f>SUM(F10*0.33/30)</f>
        <v>0.55000000000000004</v>
      </c>
      <c r="I10" s="18">
        <f>SUM(F10*14.82/30)</f>
        <v>24.7</v>
      </c>
      <c r="J10" s="18">
        <f>SUM(F10*68.97/30)</f>
        <v>114.95</v>
      </c>
      <c r="K10" s="115" t="s">
        <v>27</v>
      </c>
      <c r="L10" s="116">
        <v>5.92</v>
      </c>
    </row>
    <row r="11" spans="1:13" ht="19.5" customHeight="1">
      <c r="A11" s="15"/>
      <c r="B11" s="16"/>
      <c r="C11" s="17"/>
      <c r="D11" s="41"/>
      <c r="E11" s="102" t="s">
        <v>149</v>
      </c>
      <c r="F11" s="130">
        <v>40</v>
      </c>
      <c r="G11" s="130">
        <v>5.0999999999999996</v>
      </c>
      <c r="H11" s="130">
        <v>4.68</v>
      </c>
      <c r="I11" s="130">
        <v>0.3</v>
      </c>
      <c r="J11" s="130">
        <v>63</v>
      </c>
      <c r="K11" s="115" t="s">
        <v>150</v>
      </c>
      <c r="L11" s="116">
        <v>12.8</v>
      </c>
      <c r="M11" s="154"/>
    </row>
    <row r="12" spans="1:13" ht="20.25" customHeight="1">
      <c r="A12" s="50"/>
      <c r="B12" s="51"/>
      <c r="C12" s="52"/>
      <c r="D12" s="53" t="s">
        <v>29</v>
      </c>
      <c r="E12" s="103"/>
      <c r="F12" s="118">
        <f>SUM(F6:F11)</f>
        <v>640</v>
      </c>
      <c r="G12" s="118">
        <f>SUM(G6:G11)</f>
        <v>24.9</v>
      </c>
      <c r="H12" s="118">
        <f>SUM(H6:H11)</f>
        <v>23.93</v>
      </c>
      <c r="I12" s="118">
        <f>SUM(I6:I11)</f>
        <v>99.15</v>
      </c>
      <c r="J12" s="118">
        <f>SUM(J6:J11)</f>
        <v>711.45</v>
      </c>
      <c r="K12" s="133"/>
      <c r="L12" s="118">
        <f>SUM(L6:L11)</f>
        <v>147.82</v>
      </c>
    </row>
    <row r="13" spans="1:13" ht="31.5">
      <c r="A13" s="22">
        <f>A6</f>
        <v>1</v>
      </c>
      <c r="B13" s="23">
        <f>B6</f>
        <v>1</v>
      </c>
      <c r="C13" s="24" t="s">
        <v>30</v>
      </c>
      <c r="D13" s="47" t="s">
        <v>31</v>
      </c>
      <c r="E13" s="77" t="s">
        <v>102</v>
      </c>
      <c r="F13" s="18">
        <v>100</v>
      </c>
      <c r="G13" s="18">
        <f>F13*0.6/60</f>
        <v>1</v>
      </c>
      <c r="H13" s="18">
        <f>F13*6/60</f>
        <v>10</v>
      </c>
      <c r="I13" s="18">
        <f>F13*4.76/60</f>
        <v>7.9333333333333336</v>
      </c>
      <c r="J13" s="18">
        <f>F13*75.44/60</f>
        <v>125.73333333333333</v>
      </c>
      <c r="K13" s="78" t="s">
        <v>83</v>
      </c>
      <c r="L13" s="116">
        <v>22.27</v>
      </c>
    </row>
    <row r="14" spans="1:13" ht="15.75">
      <c r="A14" s="15"/>
      <c r="B14" s="16"/>
      <c r="C14" s="17"/>
      <c r="D14" s="47" t="s">
        <v>32</v>
      </c>
      <c r="E14" s="79" t="s">
        <v>103</v>
      </c>
      <c r="F14" s="14">
        <v>250</v>
      </c>
      <c r="G14" s="80">
        <f>F14*4.4/200</f>
        <v>5.5</v>
      </c>
      <c r="H14" s="80">
        <f>F14*4.5/200</f>
        <v>5.625</v>
      </c>
      <c r="I14" s="80">
        <f>F14*16.6/200</f>
        <v>20.75</v>
      </c>
      <c r="J14" s="80">
        <f>F14*125/200</f>
        <v>156.25</v>
      </c>
      <c r="K14" s="78" t="s">
        <v>84</v>
      </c>
      <c r="L14" s="116">
        <v>35.950000000000003</v>
      </c>
    </row>
    <row r="15" spans="1:13" ht="15.75">
      <c r="A15" s="15"/>
      <c r="B15" s="16"/>
      <c r="C15" s="17"/>
      <c r="D15" s="47" t="s">
        <v>33</v>
      </c>
      <c r="E15" s="73" t="s">
        <v>52</v>
      </c>
      <c r="F15" s="28">
        <v>100</v>
      </c>
      <c r="G15" s="28">
        <f>F15*14.04/90</f>
        <v>15.6</v>
      </c>
      <c r="H15" s="28">
        <f>F15*17.5/90</f>
        <v>19.444444444444443</v>
      </c>
      <c r="I15" s="28">
        <f>F15*14.3/90</f>
        <v>15.888888888888889</v>
      </c>
      <c r="J15" s="28">
        <f>F15*270.86/90</f>
        <v>300.95555555555558</v>
      </c>
      <c r="K15" s="78" t="s">
        <v>53</v>
      </c>
      <c r="L15" s="116">
        <v>69.209999999999994</v>
      </c>
    </row>
    <row r="16" spans="1:13" ht="15.75">
      <c r="A16" s="15"/>
      <c r="B16" s="16"/>
      <c r="C16" s="17"/>
      <c r="D16" s="47" t="s">
        <v>34</v>
      </c>
      <c r="E16" s="74" t="s">
        <v>35</v>
      </c>
      <c r="F16" s="14">
        <v>180</v>
      </c>
      <c r="G16" s="18">
        <f>F16*5.3/150</f>
        <v>6.36</v>
      </c>
      <c r="H16" s="18">
        <f>F16*3/150</f>
        <v>3.6</v>
      </c>
      <c r="I16" s="18">
        <f>F16*32.4/150</f>
        <v>38.880000000000003</v>
      </c>
      <c r="J16" s="18">
        <f>F16*178/150</f>
        <v>213.6</v>
      </c>
      <c r="K16" s="78" t="s">
        <v>74</v>
      </c>
      <c r="L16" s="116">
        <v>12.23</v>
      </c>
    </row>
    <row r="17" spans="1:12" ht="15.75">
      <c r="A17" s="15"/>
      <c r="B17" s="16"/>
      <c r="C17" s="17"/>
      <c r="D17" s="47" t="s">
        <v>95</v>
      </c>
      <c r="E17" s="74" t="s">
        <v>36</v>
      </c>
      <c r="F17" s="14">
        <v>200</v>
      </c>
      <c r="G17" s="76">
        <v>0.4</v>
      </c>
      <c r="H17" s="76">
        <v>0.2</v>
      </c>
      <c r="I17" s="76">
        <v>16.100000000000001</v>
      </c>
      <c r="J17" s="76">
        <v>68</v>
      </c>
      <c r="K17" s="78">
        <v>44206</v>
      </c>
      <c r="L17" s="116">
        <v>15.99</v>
      </c>
    </row>
    <row r="18" spans="1:12" ht="15.75">
      <c r="A18" s="15"/>
      <c r="B18" s="16"/>
      <c r="C18" s="17"/>
      <c r="D18" s="47" t="s">
        <v>37</v>
      </c>
      <c r="E18" s="19" t="s">
        <v>38</v>
      </c>
      <c r="F18" s="18">
        <v>30</v>
      </c>
      <c r="G18" s="18">
        <f>SUM(F18*2.37/30)</f>
        <v>2.37</v>
      </c>
      <c r="H18" s="18">
        <f>SUM(F18*0.3/30)</f>
        <v>0.3</v>
      </c>
      <c r="I18" s="18">
        <f>SUM(F18*14.49/30)</f>
        <v>14.49</v>
      </c>
      <c r="J18" s="18">
        <f>SUM(F18*70.14/30)</f>
        <v>70.14</v>
      </c>
      <c r="K18" s="78" t="s">
        <v>27</v>
      </c>
      <c r="L18" s="116">
        <v>6.66</v>
      </c>
    </row>
    <row r="19" spans="1:12" ht="15.75">
      <c r="A19" s="15"/>
      <c r="B19" s="16"/>
      <c r="C19" s="17"/>
      <c r="D19" s="47" t="s">
        <v>39</v>
      </c>
      <c r="E19" s="74" t="s">
        <v>154</v>
      </c>
      <c r="F19" s="18">
        <v>30</v>
      </c>
      <c r="G19" s="18">
        <f>SUM(F19*1.68/30)</f>
        <v>1.68</v>
      </c>
      <c r="H19" s="18">
        <f>SUM(F19*0.33/30)</f>
        <v>0.33</v>
      </c>
      <c r="I19" s="18">
        <f>SUM(F19*14.82/30)</f>
        <v>14.82</v>
      </c>
      <c r="J19" s="18">
        <f>SUM(F19*68.97/30)</f>
        <v>68.97</v>
      </c>
      <c r="K19" s="78" t="s">
        <v>41</v>
      </c>
      <c r="L19" s="116">
        <v>4.74</v>
      </c>
    </row>
    <row r="20" spans="1:12" ht="15.75">
      <c r="A20" s="15"/>
      <c r="B20" s="16"/>
      <c r="C20" s="17"/>
      <c r="D20" s="41"/>
      <c r="E20" s="83"/>
      <c r="F20" s="85"/>
      <c r="G20" s="85"/>
      <c r="H20" s="85"/>
      <c r="I20" s="85"/>
      <c r="J20" s="85"/>
      <c r="K20" s="93"/>
      <c r="L20" s="116"/>
    </row>
    <row r="21" spans="1:12" ht="15.75">
      <c r="A21" s="15"/>
      <c r="B21" s="16"/>
      <c r="C21" s="17"/>
      <c r="D21" s="41"/>
      <c r="E21" s="83"/>
      <c r="F21" s="85"/>
      <c r="G21" s="85"/>
      <c r="H21" s="85"/>
      <c r="I21" s="85"/>
      <c r="J21" s="85"/>
      <c r="K21" s="93"/>
      <c r="L21" s="116"/>
    </row>
    <row r="22" spans="1:12" ht="19.5" customHeight="1">
      <c r="A22" s="50"/>
      <c r="B22" s="51"/>
      <c r="C22" s="52"/>
      <c r="D22" s="53" t="s">
        <v>29</v>
      </c>
      <c r="E22" s="103"/>
      <c r="F22" s="104">
        <f>SUM(F13:F21)</f>
        <v>890</v>
      </c>
      <c r="G22" s="104">
        <f t="shared" ref="G22:J22" si="0">SUM(G13:G21)</f>
        <v>32.910000000000004</v>
      </c>
      <c r="H22" s="104">
        <f t="shared" si="0"/>
        <v>39.499444444444443</v>
      </c>
      <c r="I22" s="104">
        <f t="shared" si="0"/>
        <v>128.86222222222221</v>
      </c>
      <c r="J22" s="104">
        <f t="shared" si="0"/>
        <v>1003.6488888888889</v>
      </c>
      <c r="K22" s="132"/>
      <c r="L22" s="118">
        <f t="shared" ref="L22" si="1">SUM(L13:L21)</f>
        <v>167.05</v>
      </c>
    </row>
    <row r="23" spans="1:12" ht="19.5" customHeight="1" thickBot="1">
      <c r="A23" s="54">
        <f>A6</f>
        <v>1</v>
      </c>
      <c r="B23" s="55">
        <f>B6</f>
        <v>1</v>
      </c>
      <c r="C23" s="171" t="s">
        <v>40</v>
      </c>
      <c r="D23" s="172"/>
      <c r="E23" s="105"/>
      <c r="F23" s="106">
        <f>F12+F22</f>
        <v>1530</v>
      </c>
      <c r="G23" s="106">
        <f t="shared" ref="G23:J23" si="2">G12+G22</f>
        <v>57.81</v>
      </c>
      <c r="H23" s="106">
        <f t="shared" si="2"/>
        <v>63.429444444444442</v>
      </c>
      <c r="I23" s="106">
        <f t="shared" si="2"/>
        <v>228.01222222222222</v>
      </c>
      <c r="J23" s="106">
        <f t="shared" si="2"/>
        <v>1715.098888888889</v>
      </c>
      <c r="K23" s="140"/>
      <c r="L23" s="124">
        <f t="shared" ref="L23" si="3">L12+L22</f>
        <v>314.87</v>
      </c>
    </row>
    <row r="24" spans="1:12" ht="15.75">
      <c r="A24" s="25">
        <v>1</v>
      </c>
      <c r="B24" s="16">
        <v>2</v>
      </c>
      <c r="C24" s="17"/>
      <c r="D24" s="47" t="s">
        <v>33</v>
      </c>
      <c r="E24" s="73" t="s">
        <v>86</v>
      </c>
      <c r="F24" s="28">
        <v>100</v>
      </c>
      <c r="G24" s="28">
        <f>F24*14/100</f>
        <v>14</v>
      </c>
      <c r="H24" s="28">
        <f>F24*15/100</f>
        <v>15</v>
      </c>
      <c r="I24" s="28">
        <f>F24*7.8/90</f>
        <v>8.6666666666666661</v>
      </c>
      <c r="J24" s="28">
        <f>F24*203.22/90</f>
        <v>225.8</v>
      </c>
      <c r="K24" s="81" t="s">
        <v>55</v>
      </c>
      <c r="L24" s="116">
        <v>106.52</v>
      </c>
    </row>
    <row r="25" spans="1:12" ht="15.75">
      <c r="A25" s="25"/>
      <c r="B25" s="16"/>
      <c r="C25" s="17"/>
      <c r="D25" s="47" t="s">
        <v>34</v>
      </c>
      <c r="E25" s="73" t="s">
        <v>56</v>
      </c>
      <c r="F25" s="18">
        <v>180</v>
      </c>
      <c r="G25" s="18">
        <f>F25*3.17/150</f>
        <v>3.8040000000000003</v>
      </c>
      <c r="H25" s="18">
        <f>F25*3.6/150</f>
        <v>4.32</v>
      </c>
      <c r="I25" s="18">
        <f>F25*20.4/150</f>
        <v>24.479999999999997</v>
      </c>
      <c r="J25" s="28">
        <f>F25*127.5/150</f>
        <v>153</v>
      </c>
      <c r="K25" s="81">
        <v>44258</v>
      </c>
      <c r="L25" s="116">
        <v>23.14</v>
      </c>
    </row>
    <row r="26" spans="1:12" ht="15.75">
      <c r="A26" s="25"/>
      <c r="B26" s="16"/>
      <c r="C26" s="17"/>
      <c r="D26" s="47" t="s">
        <v>24</v>
      </c>
      <c r="E26" s="75" t="s">
        <v>46</v>
      </c>
      <c r="F26" s="18">
        <v>200</v>
      </c>
      <c r="G26" s="18">
        <v>1</v>
      </c>
      <c r="H26" s="18">
        <v>0.1</v>
      </c>
      <c r="I26" s="18">
        <v>19.8</v>
      </c>
      <c r="J26" s="18">
        <v>84.1</v>
      </c>
      <c r="K26" s="93" t="s">
        <v>79</v>
      </c>
      <c r="L26" s="116">
        <v>6.62</v>
      </c>
    </row>
    <row r="27" spans="1:12" ht="15.75">
      <c r="A27" s="25"/>
      <c r="B27" s="16"/>
      <c r="C27" s="17"/>
      <c r="D27" s="47" t="s">
        <v>37</v>
      </c>
      <c r="E27" s="19" t="s">
        <v>38</v>
      </c>
      <c r="F27" s="18">
        <v>40</v>
      </c>
      <c r="G27" s="18">
        <f>SUM(F27*2.37/30)</f>
        <v>3.1600000000000006</v>
      </c>
      <c r="H27" s="18">
        <f>SUM(F27*0.3/30)</f>
        <v>0.4</v>
      </c>
      <c r="I27" s="18">
        <f>SUM(F27*14.49/30)</f>
        <v>19.32</v>
      </c>
      <c r="J27" s="18">
        <f>SUM(F27*70.14/30)</f>
        <v>93.52</v>
      </c>
      <c r="K27" s="93" t="s">
        <v>27</v>
      </c>
      <c r="L27" s="116">
        <v>7.04</v>
      </c>
    </row>
    <row r="28" spans="1:12" ht="15.75">
      <c r="A28" s="25"/>
      <c r="B28" s="16"/>
      <c r="C28" s="17"/>
      <c r="D28" s="47" t="s">
        <v>39</v>
      </c>
      <c r="E28" s="74" t="s">
        <v>154</v>
      </c>
      <c r="F28" s="18">
        <v>30</v>
      </c>
      <c r="G28" s="18">
        <f>SUM(F28*1.68/30)</f>
        <v>1.68</v>
      </c>
      <c r="H28" s="18">
        <f>SUM(F28*0.33/30)</f>
        <v>0.33</v>
      </c>
      <c r="I28" s="18">
        <f>SUM(F28*14.82/30)</f>
        <v>14.82</v>
      </c>
      <c r="J28" s="18">
        <f>SUM(F28*68.97/30)</f>
        <v>68.97</v>
      </c>
      <c r="K28" s="93" t="s">
        <v>27</v>
      </c>
      <c r="L28" s="116">
        <v>4.5</v>
      </c>
    </row>
    <row r="29" spans="1:12" ht="15.75">
      <c r="A29" s="25"/>
      <c r="B29" s="16"/>
      <c r="C29" s="17"/>
      <c r="D29" s="41"/>
      <c r="E29" s="83"/>
      <c r="F29" s="85"/>
      <c r="G29" s="85"/>
      <c r="H29" s="85"/>
      <c r="I29" s="85"/>
      <c r="J29" s="85"/>
      <c r="K29" s="93"/>
      <c r="L29" s="116"/>
    </row>
    <row r="30" spans="1:12" ht="15.75">
      <c r="A30" s="64"/>
      <c r="B30" s="51"/>
      <c r="C30" s="52"/>
      <c r="D30" s="53" t="s">
        <v>29</v>
      </c>
      <c r="E30" s="103"/>
      <c r="F30" s="118">
        <f>SUM(F24:F29)</f>
        <v>550</v>
      </c>
      <c r="G30" s="118">
        <f>SUM(G24:G29)</f>
        <v>23.644000000000002</v>
      </c>
      <c r="H30" s="118">
        <f>SUM(H24:H29)</f>
        <v>20.149999999999999</v>
      </c>
      <c r="I30" s="118">
        <f>SUM(I24:I29)</f>
        <v>87.086666666666645</v>
      </c>
      <c r="J30" s="118">
        <f>SUM(J24:J29)</f>
        <v>625.39</v>
      </c>
      <c r="K30" s="133"/>
      <c r="L30" s="118">
        <f>SUM(L24:L29)</f>
        <v>147.82</v>
      </c>
    </row>
    <row r="31" spans="1:12" ht="31.5">
      <c r="A31" s="23">
        <v>1</v>
      </c>
      <c r="B31" s="23">
        <v>2</v>
      </c>
      <c r="C31" s="24" t="s">
        <v>30</v>
      </c>
      <c r="D31" s="47" t="s">
        <v>31</v>
      </c>
      <c r="E31" s="82" t="s">
        <v>87</v>
      </c>
      <c r="F31" s="18">
        <v>100</v>
      </c>
      <c r="G31" s="18">
        <f>F31*0.8/60</f>
        <v>1.3333333333333333</v>
      </c>
      <c r="H31" s="18">
        <f>F31*3.6/60</f>
        <v>6</v>
      </c>
      <c r="I31" s="18">
        <f>F31*4.1/60</f>
        <v>6.8333333333333321</v>
      </c>
      <c r="J31" s="18">
        <f>F31*52/60</f>
        <v>86.666666666666671</v>
      </c>
      <c r="K31" s="93" t="s">
        <v>58</v>
      </c>
      <c r="L31" s="116">
        <v>8.92</v>
      </c>
    </row>
    <row r="32" spans="1:12" ht="15.75">
      <c r="A32" s="25"/>
      <c r="B32" s="16"/>
      <c r="C32" s="17"/>
      <c r="D32" s="47" t="s">
        <v>32</v>
      </c>
      <c r="E32" s="73" t="s">
        <v>104</v>
      </c>
      <c r="F32" s="28">
        <v>250</v>
      </c>
      <c r="G32" s="28">
        <f>F32*1.6/200+0.3+1.6</f>
        <v>3.9</v>
      </c>
      <c r="H32" s="28">
        <f>F32*5.5/200+0.3+1.6</f>
        <v>8.7750000000000004</v>
      </c>
      <c r="I32" s="28">
        <f>F32*8.8/200+0.3+1.6</f>
        <v>12.9</v>
      </c>
      <c r="J32" s="28">
        <f>F32*91/200</f>
        <v>113.75</v>
      </c>
      <c r="K32" s="93">
        <v>45708</v>
      </c>
      <c r="L32" s="116">
        <v>32.47</v>
      </c>
    </row>
    <row r="33" spans="1:14" ht="15.75">
      <c r="A33" s="25"/>
      <c r="B33" s="16"/>
      <c r="C33" s="17"/>
      <c r="D33" s="47" t="s">
        <v>33</v>
      </c>
      <c r="E33" s="73" t="s">
        <v>59</v>
      </c>
      <c r="F33" s="28">
        <v>250</v>
      </c>
      <c r="G33" s="28">
        <f>F33*18.5/250</f>
        <v>18.5</v>
      </c>
      <c r="H33" s="28">
        <f>F33*20.6/250</f>
        <v>20.6</v>
      </c>
      <c r="I33" s="28">
        <f>F33*43.2/250</f>
        <v>43.2</v>
      </c>
      <c r="J33" s="28">
        <f>F33*397.62/230+0.3+1.6</f>
        <v>434.09565217391309</v>
      </c>
      <c r="K33" s="93">
        <v>44294</v>
      </c>
      <c r="L33" s="116">
        <v>111.61</v>
      </c>
    </row>
    <row r="34" spans="1:14" ht="15.75">
      <c r="A34" s="25"/>
      <c r="B34" s="16"/>
      <c r="C34" s="17"/>
      <c r="D34" s="47" t="s">
        <v>95</v>
      </c>
      <c r="E34" s="73" t="s">
        <v>49</v>
      </c>
      <c r="F34" s="18">
        <v>200</v>
      </c>
      <c r="G34" s="18">
        <v>0</v>
      </c>
      <c r="H34" s="18">
        <v>0</v>
      </c>
      <c r="I34" s="18">
        <v>27.8</v>
      </c>
      <c r="J34" s="18">
        <v>111</v>
      </c>
      <c r="K34" s="93">
        <v>948</v>
      </c>
      <c r="L34" s="116">
        <v>5.38</v>
      </c>
    </row>
    <row r="35" spans="1:14" ht="15.75">
      <c r="A35" s="25"/>
      <c r="B35" s="16"/>
      <c r="C35" s="17"/>
      <c r="D35" s="47" t="s">
        <v>95</v>
      </c>
      <c r="E35" s="19" t="s">
        <v>38</v>
      </c>
      <c r="F35" s="18">
        <v>40</v>
      </c>
      <c r="G35" s="18">
        <f>SUM(F35*2.37/30)</f>
        <v>3.1600000000000006</v>
      </c>
      <c r="H35" s="18">
        <f>SUM(F35*0.3/30)</f>
        <v>0.4</v>
      </c>
      <c r="I35" s="18">
        <f>SUM(F35*14.49/30)</f>
        <v>19.32</v>
      </c>
      <c r="J35" s="18">
        <f>SUM(F35*70.14/30)</f>
        <v>93.52</v>
      </c>
      <c r="K35" s="93" t="s">
        <v>27</v>
      </c>
      <c r="L35" s="116">
        <v>5.12</v>
      </c>
      <c r="N35" s="1">
        <v>1</v>
      </c>
    </row>
    <row r="36" spans="1:14" ht="15.75">
      <c r="A36" s="25"/>
      <c r="B36" s="16"/>
      <c r="C36" s="17"/>
      <c r="D36" s="47" t="s">
        <v>39</v>
      </c>
      <c r="E36" s="19" t="s">
        <v>154</v>
      </c>
      <c r="F36" s="18">
        <v>30</v>
      </c>
      <c r="G36" s="18">
        <f>SUM(F36*1.68/30)</f>
        <v>1.68</v>
      </c>
      <c r="H36" s="18">
        <f>SUM(F36*0.33/30)</f>
        <v>0.33</v>
      </c>
      <c r="I36" s="18">
        <f>SUM(F36*14.82/30)</f>
        <v>14.82</v>
      </c>
      <c r="J36" s="18">
        <f>SUM(F36*68.97/30)</f>
        <v>68.97</v>
      </c>
      <c r="K36" s="93" t="s">
        <v>27</v>
      </c>
      <c r="L36" s="116">
        <v>3.55</v>
      </c>
    </row>
    <row r="37" spans="1:14" ht="15.75">
      <c r="A37" s="25"/>
      <c r="B37" s="16"/>
      <c r="C37" s="17"/>
      <c r="D37" s="41"/>
      <c r="E37" s="83"/>
      <c r="F37" s="85"/>
      <c r="G37" s="85"/>
      <c r="H37" s="85"/>
      <c r="I37" s="85"/>
      <c r="J37" s="85"/>
      <c r="K37" s="93"/>
      <c r="L37" s="116"/>
    </row>
    <row r="38" spans="1:14" ht="15.75">
      <c r="A38" s="25"/>
      <c r="B38" s="16"/>
      <c r="C38" s="17"/>
      <c r="D38" s="41"/>
      <c r="E38" s="83"/>
      <c r="F38" s="85"/>
      <c r="G38" s="85"/>
      <c r="H38" s="85"/>
      <c r="I38" s="85"/>
      <c r="J38" s="85"/>
      <c r="K38" s="93"/>
      <c r="L38" s="116"/>
    </row>
    <row r="39" spans="1:14" ht="15.75">
      <c r="A39" s="64"/>
      <c r="B39" s="51"/>
      <c r="C39" s="52"/>
      <c r="D39" s="53" t="s">
        <v>29</v>
      </c>
      <c r="E39" s="103"/>
      <c r="F39" s="104">
        <f>SUM(F31:F38)</f>
        <v>870</v>
      </c>
      <c r="G39" s="104">
        <f>SUM(G31:G38)</f>
        <v>28.573333333333334</v>
      </c>
      <c r="H39" s="104">
        <f>SUM(H31:H38)</f>
        <v>36.104999999999997</v>
      </c>
      <c r="I39" s="104">
        <f>SUM(I31:I38)</f>
        <v>124.87333333333333</v>
      </c>
      <c r="J39" s="104">
        <f>SUM(J31:J38)</f>
        <v>908.00231884057985</v>
      </c>
      <c r="K39" s="132"/>
      <c r="L39" s="118">
        <f>SUM(L31:L38)</f>
        <v>167.05</v>
      </c>
    </row>
    <row r="40" spans="1:14" ht="15.75" customHeight="1" thickBot="1">
      <c r="A40" s="65" t="e">
        <f>#REF!</f>
        <v>#REF!</v>
      </c>
      <c r="B40" s="65" t="e">
        <f>#REF!</f>
        <v>#REF!</v>
      </c>
      <c r="C40" s="171" t="s">
        <v>40</v>
      </c>
      <c r="D40" s="172"/>
      <c r="E40" s="105"/>
      <c r="F40" s="106">
        <f>F30+F39</f>
        <v>1420</v>
      </c>
      <c r="G40" s="106">
        <f>G30+G39</f>
        <v>52.217333333333336</v>
      </c>
      <c r="H40" s="106">
        <f>H30+H39</f>
        <v>56.254999999999995</v>
      </c>
      <c r="I40" s="106">
        <f>I30+I39</f>
        <v>211.95999999999998</v>
      </c>
      <c r="J40" s="106">
        <f>J30+J39</f>
        <v>1533.3923188405797</v>
      </c>
      <c r="K40" s="140"/>
      <c r="L40" s="124">
        <f>L30+L39</f>
        <v>314.87</v>
      </c>
    </row>
    <row r="41" spans="1:14" ht="16.5" thickBot="1">
      <c r="A41" s="11">
        <v>1</v>
      </c>
      <c r="B41" s="12">
        <v>3</v>
      </c>
      <c r="C41" s="13" t="s">
        <v>22</v>
      </c>
      <c r="D41" s="46"/>
      <c r="E41" s="26"/>
      <c r="F41" s="18"/>
      <c r="G41" s="18"/>
      <c r="H41" s="18"/>
      <c r="I41" s="18"/>
      <c r="J41" s="18"/>
      <c r="K41" s="101"/>
      <c r="L41" s="114"/>
    </row>
    <row r="42" spans="1:14" ht="15.75">
      <c r="A42" s="15"/>
      <c r="B42" s="16"/>
      <c r="C42" s="17"/>
      <c r="D42" s="46" t="s">
        <v>33</v>
      </c>
      <c r="E42" s="30" t="s">
        <v>45</v>
      </c>
      <c r="F42" s="18">
        <v>100</v>
      </c>
      <c r="G42" s="18">
        <f>F42*17.19/90</f>
        <v>19.100000000000001</v>
      </c>
      <c r="H42" s="18">
        <f>F42*14.31/90</f>
        <v>15.9</v>
      </c>
      <c r="I42" s="18">
        <f>F42*0.18/90</f>
        <v>0.2</v>
      </c>
      <c r="J42" s="18">
        <f>F42*198/90</f>
        <v>220</v>
      </c>
      <c r="K42" s="87">
        <v>4232</v>
      </c>
      <c r="L42" s="114">
        <v>78.89</v>
      </c>
    </row>
    <row r="43" spans="1:14" ht="15.75">
      <c r="A43" s="15"/>
      <c r="B43" s="16"/>
      <c r="C43" s="17"/>
      <c r="D43" s="41" t="s">
        <v>34</v>
      </c>
      <c r="E43" s="19" t="s">
        <v>35</v>
      </c>
      <c r="F43" s="14">
        <v>180</v>
      </c>
      <c r="G43" s="18">
        <f>F43*5.3/150</f>
        <v>6.36</v>
      </c>
      <c r="H43" s="18">
        <f>F43*3/150</f>
        <v>3.6</v>
      </c>
      <c r="I43" s="18">
        <f>F43*32.4/150</f>
        <v>38.880000000000003</v>
      </c>
      <c r="J43" s="18">
        <f>F43*178/150</f>
        <v>213.6</v>
      </c>
      <c r="K43" s="93">
        <v>46.3</v>
      </c>
      <c r="L43" s="116">
        <v>12.23</v>
      </c>
    </row>
    <row r="44" spans="1:14" ht="15.75">
      <c r="A44" s="15"/>
      <c r="B44" s="16"/>
      <c r="C44" s="17"/>
      <c r="D44" s="47" t="s">
        <v>24</v>
      </c>
      <c r="E44" s="26" t="s">
        <v>105</v>
      </c>
      <c r="F44" s="28">
        <v>200</v>
      </c>
      <c r="G44" s="28">
        <v>3.6</v>
      </c>
      <c r="H44" s="28">
        <v>3.3</v>
      </c>
      <c r="I44" s="28">
        <v>22.8</v>
      </c>
      <c r="J44" s="28">
        <v>135</v>
      </c>
      <c r="K44" s="81" t="s">
        <v>57</v>
      </c>
      <c r="L44" s="116">
        <v>22.54</v>
      </c>
    </row>
    <row r="45" spans="1:14" ht="15.75">
      <c r="A45" s="15"/>
      <c r="B45" s="16"/>
      <c r="C45" s="17"/>
      <c r="D45" s="47" t="s">
        <v>37</v>
      </c>
      <c r="E45" s="19" t="s">
        <v>38</v>
      </c>
      <c r="F45" s="18">
        <v>40</v>
      </c>
      <c r="G45" s="18">
        <f>SUM(F45*2.37/30)</f>
        <v>3.1600000000000006</v>
      </c>
      <c r="H45" s="18">
        <f>SUM(F45*0.3/30)</f>
        <v>0.4</v>
      </c>
      <c r="I45" s="18">
        <f>SUM(F45*14.49/30)</f>
        <v>19.32</v>
      </c>
      <c r="J45" s="18">
        <f>SUM(F45*70.14/30)</f>
        <v>93.52</v>
      </c>
      <c r="K45" s="93" t="s">
        <v>27</v>
      </c>
      <c r="L45" s="116">
        <v>6.66</v>
      </c>
    </row>
    <row r="46" spans="1:14" ht="15.75">
      <c r="A46" s="15"/>
      <c r="B46" s="16"/>
      <c r="C46" s="17"/>
      <c r="D46" s="47" t="s">
        <v>39</v>
      </c>
      <c r="E46" s="19" t="s">
        <v>154</v>
      </c>
      <c r="F46" s="18">
        <v>30</v>
      </c>
      <c r="G46" s="18">
        <f>SUM(F46*1.68/30)</f>
        <v>1.68</v>
      </c>
      <c r="H46" s="18">
        <f>SUM(F46*0.33/30)</f>
        <v>0.33</v>
      </c>
      <c r="I46" s="18">
        <f>SUM(F46*14.82/30)</f>
        <v>14.82</v>
      </c>
      <c r="J46" s="18">
        <f>SUM(F46*68.97/30)</f>
        <v>68.97</v>
      </c>
      <c r="K46" s="93" t="s">
        <v>27</v>
      </c>
      <c r="L46" s="116">
        <v>6.04</v>
      </c>
    </row>
    <row r="47" spans="1:14" ht="33.75" customHeight="1">
      <c r="A47" s="15"/>
      <c r="B47" s="16"/>
      <c r="C47" s="17"/>
      <c r="D47" s="131"/>
      <c r="E47" s="83" t="s">
        <v>156</v>
      </c>
      <c r="F47" s="84">
        <v>60</v>
      </c>
      <c r="G47" s="84">
        <f>F47*2.5/100</f>
        <v>1.5</v>
      </c>
      <c r="H47" s="84">
        <f>F47*10/100</f>
        <v>6</v>
      </c>
      <c r="I47" s="84">
        <f>F47*7.08/100</f>
        <v>4.2480000000000002</v>
      </c>
      <c r="J47" s="84">
        <f>F47*128/100</f>
        <v>76.8</v>
      </c>
      <c r="K47" s="93">
        <v>44409</v>
      </c>
      <c r="L47" s="123">
        <v>21.46</v>
      </c>
      <c r="M47" s="154"/>
    </row>
    <row r="48" spans="1:14" ht="15.75">
      <c r="A48" s="50"/>
      <c r="B48" s="51"/>
      <c r="C48" s="52"/>
      <c r="D48" s="53" t="s">
        <v>29</v>
      </c>
      <c r="E48" s="103"/>
      <c r="F48" s="118">
        <f>SUM(F41:F47)</f>
        <v>610</v>
      </c>
      <c r="G48" s="118">
        <f t="shared" ref="G48" si="4">SUM(G41:G47)</f>
        <v>35.400000000000006</v>
      </c>
      <c r="H48" s="118">
        <f t="shared" ref="H48" si="5">SUM(H41:H47)</f>
        <v>29.529999999999998</v>
      </c>
      <c r="I48" s="118">
        <f t="shared" ref="I48" si="6">SUM(I41:I47)</f>
        <v>100.26800000000001</v>
      </c>
      <c r="J48" s="118">
        <f t="shared" ref="J48" si="7">SUM(J41:J47)</f>
        <v>807.89</v>
      </c>
      <c r="K48" s="133"/>
      <c r="L48" s="118">
        <f>SUM(L41:L47)</f>
        <v>147.82</v>
      </c>
      <c r="M48" s="154"/>
    </row>
    <row r="49" spans="1:18" ht="31.5">
      <c r="A49" s="22">
        <f>A41</f>
        <v>1</v>
      </c>
      <c r="B49" s="23">
        <f>B41</f>
        <v>3</v>
      </c>
      <c r="C49" s="24" t="s">
        <v>30</v>
      </c>
      <c r="D49" s="47" t="s">
        <v>31</v>
      </c>
      <c r="E49" s="86" t="s">
        <v>106</v>
      </c>
      <c r="F49" s="76">
        <v>100</v>
      </c>
      <c r="G49" s="76">
        <f>F49*3.24/60</f>
        <v>5.4</v>
      </c>
      <c r="H49" s="76">
        <f>F49*7.76/60</f>
        <v>12.933333333333334</v>
      </c>
      <c r="I49" s="76">
        <f>F49*25.26/60</f>
        <v>42.1</v>
      </c>
      <c r="J49" s="76">
        <f>F49*183.84/60</f>
        <v>306.39999999999998</v>
      </c>
      <c r="K49" s="93" t="s">
        <v>107</v>
      </c>
      <c r="L49" s="116">
        <v>18.46</v>
      </c>
    </row>
    <row r="50" spans="1:18" ht="32.25" thickBot="1">
      <c r="A50" s="15"/>
      <c r="B50" s="16"/>
      <c r="C50" s="17"/>
      <c r="D50" s="47" t="s">
        <v>32</v>
      </c>
      <c r="E50" s="73" t="s">
        <v>47</v>
      </c>
      <c r="F50" s="76">
        <v>250</v>
      </c>
      <c r="G50" s="76">
        <f>F50*2.38/250+0.3</f>
        <v>2.6799999999999997</v>
      </c>
      <c r="H50" s="76">
        <f>F50*4.75/250+0.3</f>
        <v>5.05</v>
      </c>
      <c r="I50" s="76">
        <f>F50*7.63/250+0.3</f>
        <v>7.93</v>
      </c>
      <c r="J50" s="76">
        <f>F50*82.5/250+0.3</f>
        <v>82.8</v>
      </c>
      <c r="K50" s="81" t="s">
        <v>108</v>
      </c>
      <c r="L50" s="116">
        <v>18.64</v>
      </c>
    </row>
    <row r="51" spans="1:18" ht="15.75">
      <c r="A51" s="15"/>
      <c r="B51" s="16"/>
      <c r="C51" s="17"/>
      <c r="D51" s="47" t="s">
        <v>33</v>
      </c>
      <c r="E51" s="75" t="s">
        <v>96</v>
      </c>
      <c r="F51" s="18">
        <v>100</v>
      </c>
      <c r="G51" s="18">
        <f>F51*11.6/90</f>
        <v>12.888888888888889</v>
      </c>
      <c r="H51" s="18">
        <f>F51*12.1/90</f>
        <v>13.444444444444445</v>
      </c>
      <c r="I51" s="18">
        <f>F51*13.1/90</f>
        <v>14.555555555555555</v>
      </c>
      <c r="J51" s="18">
        <f>F51*207.7/90</f>
        <v>230.77777777777777</v>
      </c>
      <c r="K51" s="101">
        <v>44533</v>
      </c>
      <c r="L51" s="116">
        <v>80.59</v>
      </c>
    </row>
    <row r="52" spans="1:18" ht="15.75">
      <c r="A52" s="15"/>
      <c r="B52" s="16"/>
      <c r="C52" s="17"/>
      <c r="D52" s="47" t="s">
        <v>34</v>
      </c>
      <c r="E52" s="73" t="s">
        <v>155</v>
      </c>
      <c r="F52" s="28">
        <v>180</v>
      </c>
      <c r="G52" s="28">
        <f>F52*3.25/150</f>
        <v>3.9</v>
      </c>
      <c r="H52" s="28">
        <f>F52*2.8/150</f>
        <v>3.3599999999999994</v>
      </c>
      <c r="I52" s="28">
        <f>F52*11.9/150</f>
        <v>14.28</v>
      </c>
      <c r="J52" s="28">
        <f>F52*87/150</f>
        <v>104.4</v>
      </c>
      <c r="K52" s="81">
        <v>44533</v>
      </c>
      <c r="L52" s="116">
        <v>22.39</v>
      </c>
    </row>
    <row r="53" spans="1:18" ht="15.75">
      <c r="A53" s="15"/>
      <c r="B53" s="16"/>
      <c r="C53" s="17"/>
      <c r="D53" s="47" t="s">
        <v>95</v>
      </c>
      <c r="E53" s="73" t="s">
        <v>43</v>
      </c>
      <c r="F53" s="76">
        <v>200</v>
      </c>
      <c r="G53" s="76">
        <v>0</v>
      </c>
      <c r="H53" s="76">
        <v>0</v>
      </c>
      <c r="I53" s="76">
        <v>12</v>
      </c>
      <c r="J53" s="76">
        <v>48</v>
      </c>
      <c r="K53" s="93" t="s">
        <v>44</v>
      </c>
      <c r="L53" s="116">
        <v>12.54</v>
      </c>
    </row>
    <row r="54" spans="1:18" ht="15.75">
      <c r="A54" s="15"/>
      <c r="B54" s="16"/>
      <c r="C54" s="17"/>
      <c r="D54" s="47" t="s">
        <v>37</v>
      </c>
      <c r="E54" s="19" t="s">
        <v>38</v>
      </c>
      <c r="F54" s="18">
        <v>30</v>
      </c>
      <c r="G54" s="18">
        <f>SUM(F54*2.37/30)</f>
        <v>2.37</v>
      </c>
      <c r="H54" s="18">
        <f>SUM(F54*0.3/30)</f>
        <v>0.3</v>
      </c>
      <c r="I54" s="18">
        <f>SUM(F54*14.49/30)</f>
        <v>14.49</v>
      </c>
      <c r="J54" s="18">
        <f>SUM(F54*70.14/30)</f>
        <v>70.14</v>
      </c>
      <c r="K54" s="93" t="s">
        <v>27</v>
      </c>
      <c r="L54" s="116">
        <v>7.68</v>
      </c>
    </row>
    <row r="55" spans="1:18" ht="15.75">
      <c r="A55" s="15"/>
      <c r="B55" s="16"/>
      <c r="C55" s="17"/>
      <c r="D55" s="47" t="s">
        <v>39</v>
      </c>
      <c r="E55" s="74" t="s">
        <v>154</v>
      </c>
      <c r="F55" s="18">
        <v>30</v>
      </c>
      <c r="G55" s="18">
        <f>SUM(F55*1.68/30)</f>
        <v>1.68</v>
      </c>
      <c r="H55" s="18">
        <f>SUM(F55*0.33/30)</f>
        <v>0.33</v>
      </c>
      <c r="I55" s="18">
        <f>SUM(F55*14.82/30)</f>
        <v>14.82</v>
      </c>
      <c r="J55" s="18">
        <f>SUM(F55*68.97/30)</f>
        <v>68.97</v>
      </c>
      <c r="K55" s="93" t="s">
        <v>27</v>
      </c>
      <c r="L55" s="116">
        <v>6.75</v>
      </c>
    </row>
    <row r="56" spans="1:18" ht="15.75">
      <c r="A56" s="15"/>
      <c r="B56" s="16"/>
      <c r="C56" s="17"/>
      <c r="D56" s="41"/>
      <c r="E56" s="83"/>
      <c r="F56" s="85"/>
      <c r="G56" s="85"/>
      <c r="H56" s="85"/>
      <c r="I56" s="85"/>
      <c r="J56" s="85"/>
      <c r="K56" s="93"/>
      <c r="L56" s="116"/>
    </row>
    <row r="57" spans="1:18" ht="15.75">
      <c r="A57" s="15"/>
      <c r="B57" s="16"/>
      <c r="C57" s="17"/>
      <c r="D57" s="41"/>
      <c r="E57" s="83"/>
      <c r="F57" s="85"/>
      <c r="G57" s="85"/>
      <c r="H57" s="85"/>
      <c r="I57" s="85"/>
      <c r="J57" s="85"/>
      <c r="K57" s="93"/>
      <c r="L57" s="116"/>
    </row>
    <row r="58" spans="1:18" ht="15.75">
      <c r="A58" s="50"/>
      <c r="B58" s="51"/>
      <c r="C58" s="52"/>
      <c r="D58" s="53" t="s">
        <v>29</v>
      </c>
      <c r="E58" s="103"/>
      <c r="F58" s="118">
        <f>SUM(F49:F57)</f>
        <v>890</v>
      </c>
      <c r="G58" s="118">
        <f t="shared" ref="G58" si="8">SUM(G49:G57)</f>
        <v>28.91888888888889</v>
      </c>
      <c r="H58" s="118">
        <f>SUM(H49:H57)</f>
        <v>35.417777777777772</v>
      </c>
      <c r="I58" s="118">
        <f>SUM(I49:I57)</f>
        <v>120.17555555555555</v>
      </c>
      <c r="J58" s="118">
        <f t="shared" ref="J58" si="9">SUM(J49:J57)</f>
        <v>911.48777777777775</v>
      </c>
      <c r="K58" s="132"/>
      <c r="L58" s="118">
        <f>SUM(L49:L57)</f>
        <v>167.04999999999998</v>
      </c>
    </row>
    <row r="59" spans="1:18" ht="15.75" customHeight="1" thickBot="1">
      <c r="A59" s="54">
        <f>A41</f>
        <v>1</v>
      </c>
      <c r="B59" s="55">
        <f>B41</f>
        <v>3</v>
      </c>
      <c r="C59" s="171" t="s">
        <v>40</v>
      </c>
      <c r="D59" s="172"/>
      <c r="E59" s="105"/>
      <c r="F59" s="124">
        <f>F48+F58</f>
        <v>1500</v>
      </c>
      <c r="G59" s="124">
        <f t="shared" ref="G59" si="10">G48+G58</f>
        <v>64.318888888888893</v>
      </c>
      <c r="H59" s="124">
        <f t="shared" ref="H59" si="11">H48+H58</f>
        <v>64.947777777777773</v>
      </c>
      <c r="I59" s="124">
        <f t="shared" ref="I59" si="12">I48+I58</f>
        <v>220.44355555555558</v>
      </c>
      <c r="J59" s="124">
        <f t="shared" ref="J59:L59" si="13">J48+J58</f>
        <v>1719.3777777777777</v>
      </c>
      <c r="K59" s="140"/>
      <c r="L59" s="124">
        <f t="shared" si="13"/>
        <v>314.87</v>
      </c>
      <c r="M59" s="148"/>
      <c r="N59" s="149"/>
      <c r="O59" s="149"/>
      <c r="P59" s="149"/>
      <c r="Q59" s="149"/>
      <c r="R59" s="149"/>
    </row>
    <row r="60" spans="1:18" ht="15.75">
      <c r="A60" s="11">
        <v>1</v>
      </c>
      <c r="B60" s="12">
        <v>4</v>
      </c>
      <c r="C60" s="13" t="s">
        <v>22</v>
      </c>
      <c r="D60" s="46" t="s">
        <v>23</v>
      </c>
      <c r="E60" s="75" t="s">
        <v>109</v>
      </c>
      <c r="F60" s="76">
        <v>250</v>
      </c>
      <c r="G60" s="76">
        <f>F60*15.7/200</f>
        <v>19.625</v>
      </c>
      <c r="H60" s="76">
        <f>F60*15.7/200</f>
        <v>19.625</v>
      </c>
      <c r="I60" s="76">
        <f>F60*19.8/200</f>
        <v>24.75</v>
      </c>
      <c r="J60" s="76">
        <f>F60*283.3/200</f>
        <v>354.125</v>
      </c>
      <c r="K60" s="101">
        <v>44263</v>
      </c>
      <c r="L60" s="119">
        <v>97.34</v>
      </c>
    </row>
    <row r="61" spans="1:18" ht="15.75">
      <c r="A61" s="15"/>
      <c r="B61" s="16"/>
      <c r="C61" s="17"/>
      <c r="D61" s="47" t="s">
        <v>24</v>
      </c>
      <c r="E61" s="75" t="s">
        <v>110</v>
      </c>
      <c r="F61" s="76">
        <v>200</v>
      </c>
      <c r="G61" s="76">
        <v>0.1</v>
      </c>
      <c r="H61" s="76">
        <v>0</v>
      </c>
      <c r="I61" s="76">
        <v>9.9</v>
      </c>
      <c r="J61" s="76">
        <v>40</v>
      </c>
      <c r="K61" s="93" t="s">
        <v>111</v>
      </c>
      <c r="L61" s="120">
        <v>5.79</v>
      </c>
    </row>
    <row r="62" spans="1:18" ht="15.75">
      <c r="A62" s="15"/>
      <c r="B62" s="16"/>
      <c r="C62" s="17"/>
      <c r="D62" s="47" t="s">
        <v>37</v>
      </c>
      <c r="E62" s="19" t="s">
        <v>38</v>
      </c>
      <c r="F62" s="18">
        <v>50</v>
      </c>
      <c r="G62" s="18">
        <f>SUM(F62*2.37/30)</f>
        <v>3.95</v>
      </c>
      <c r="H62" s="18">
        <f>SUM(F62*0.3/30)</f>
        <v>0.5</v>
      </c>
      <c r="I62" s="18">
        <f>SUM(F62*14.49/30)</f>
        <v>24.15</v>
      </c>
      <c r="J62" s="18">
        <f>SUM(F62*70.14/30)</f>
        <v>116.9</v>
      </c>
      <c r="K62" s="93" t="s">
        <v>27</v>
      </c>
      <c r="L62" s="120">
        <v>7.04</v>
      </c>
    </row>
    <row r="63" spans="1:18" ht="15.75">
      <c r="A63" s="15"/>
      <c r="B63" s="16"/>
      <c r="C63" s="17"/>
      <c r="D63" s="47" t="s">
        <v>39</v>
      </c>
      <c r="E63" s="74" t="s">
        <v>154</v>
      </c>
      <c r="F63" s="18">
        <v>50</v>
      </c>
      <c r="G63" s="18">
        <f>SUM(F63*1.68/30)</f>
        <v>2.8</v>
      </c>
      <c r="H63" s="18">
        <f>SUM(F63*0.33/30)</f>
        <v>0.55000000000000004</v>
      </c>
      <c r="I63" s="18">
        <f>SUM(F63*14.82/30)</f>
        <v>24.7</v>
      </c>
      <c r="J63" s="18">
        <f>SUM(F63*68.97/30)</f>
        <v>114.95</v>
      </c>
      <c r="K63" s="93" t="s">
        <v>27</v>
      </c>
      <c r="L63" s="116">
        <v>6.04</v>
      </c>
    </row>
    <row r="64" spans="1:18" ht="31.5">
      <c r="A64" s="15"/>
      <c r="B64" s="16"/>
      <c r="C64" s="17"/>
      <c r="D64" s="47"/>
      <c r="E64" s="19" t="s">
        <v>151</v>
      </c>
      <c r="F64" s="18">
        <v>60</v>
      </c>
      <c r="G64" s="18">
        <f>F64*0.7/60</f>
        <v>0.7</v>
      </c>
      <c r="H64" s="18">
        <f>F64*3.6/60</f>
        <v>3.6</v>
      </c>
      <c r="I64" s="18">
        <f>F64*9.7/60</f>
        <v>9.6999999999999993</v>
      </c>
      <c r="J64" s="18">
        <f>F64*74/60</f>
        <v>74</v>
      </c>
      <c r="K64" s="93" t="s">
        <v>141</v>
      </c>
      <c r="L64" s="116">
        <v>31.61</v>
      </c>
    </row>
    <row r="65" spans="1:16" ht="15.75">
      <c r="A65" s="15"/>
      <c r="B65" s="16"/>
      <c r="C65" s="17"/>
      <c r="D65" s="41"/>
      <c r="E65" s="27"/>
      <c r="F65" s="28"/>
      <c r="G65" s="28"/>
      <c r="H65" s="28"/>
      <c r="I65" s="28"/>
      <c r="J65" s="28"/>
      <c r="K65" s="93"/>
      <c r="L65" s="116"/>
      <c r="P65" s="48"/>
    </row>
    <row r="66" spans="1:16" ht="15.75">
      <c r="A66" s="15"/>
      <c r="B66" s="16"/>
      <c r="C66" s="17"/>
      <c r="D66" s="41"/>
      <c r="E66" s="83"/>
      <c r="F66" s="85"/>
      <c r="G66" s="85"/>
      <c r="H66" s="85"/>
      <c r="I66" s="85"/>
      <c r="J66" s="85"/>
      <c r="K66" s="93"/>
      <c r="L66" s="116"/>
    </row>
    <row r="67" spans="1:16" ht="15.75">
      <c r="A67" s="50"/>
      <c r="B67" s="51"/>
      <c r="C67" s="52"/>
      <c r="D67" s="53" t="s">
        <v>29</v>
      </c>
      <c r="E67" s="103"/>
      <c r="F67" s="104">
        <f>SUM(F60:F66)</f>
        <v>610</v>
      </c>
      <c r="G67" s="104">
        <f t="shared" ref="G67" si="14">SUM(G60:G66)</f>
        <v>27.175000000000001</v>
      </c>
      <c r="H67" s="104">
        <f t="shared" ref="H67" si="15">SUM(H60:H66)</f>
        <v>24.275000000000002</v>
      </c>
      <c r="I67" s="104">
        <f t="shared" ref="I67" si="16">SUM(I60:I66)</f>
        <v>93.2</v>
      </c>
      <c r="J67" s="104">
        <f t="shared" ref="J67:L67" si="17">SUM(J60:J66)</f>
        <v>699.97500000000002</v>
      </c>
      <c r="K67" s="132"/>
      <c r="L67" s="118">
        <f t="shared" si="17"/>
        <v>147.82000000000002</v>
      </c>
    </row>
    <row r="68" spans="1:16" ht="47.25">
      <c r="A68" s="22">
        <f>A60</f>
        <v>1</v>
      </c>
      <c r="B68" s="23">
        <f>B60</f>
        <v>4</v>
      </c>
      <c r="C68" s="24" t="s">
        <v>30</v>
      </c>
      <c r="D68" s="47" t="s">
        <v>31</v>
      </c>
      <c r="E68" s="79" t="s">
        <v>112</v>
      </c>
      <c r="F68" s="80">
        <v>100</v>
      </c>
      <c r="G68" s="80">
        <f>F68*1/60</f>
        <v>1.6666666666666667</v>
      </c>
      <c r="H68" s="80">
        <f>F68*3.6/60</f>
        <v>6</v>
      </c>
      <c r="I68" s="80">
        <f>F68*4.7/60</f>
        <v>7.833333333333333</v>
      </c>
      <c r="J68" s="80">
        <f>F68*55/60</f>
        <v>91.666666666666671</v>
      </c>
      <c r="K68" s="93" t="s">
        <v>113</v>
      </c>
      <c r="L68" s="116">
        <v>9.3000000000000007</v>
      </c>
    </row>
    <row r="69" spans="1:16" ht="15.75">
      <c r="A69" s="15"/>
      <c r="B69" s="16"/>
      <c r="C69" s="17"/>
      <c r="D69" s="47" t="s">
        <v>32</v>
      </c>
      <c r="E69" s="30" t="s">
        <v>50</v>
      </c>
      <c r="F69" s="18">
        <v>250</v>
      </c>
      <c r="G69" s="18">
        <f>F69*7.8/200</f>
        <v>9.75</v>
      </c>
      <c r="H69" s="18">
        <f>F69*3.8/200</f>
        <v>4.75</v>
      </c>
      <c r="I69" s="18">
        <f>F69*10.5/200</f>
        <v>13.125</v>
      </c>
      <c r="J69" s="18">
        <f>F69*106/200</f>
        <v>132.5</v>
      </c>
      <c r="K69" s="81" t="s">
        <v>51</v>
      </c>
      <c r="L69" s="116">
        <v>52.81</v>
      </c>
    </row>
    <row r="70" spans="1:16" ht="15.75">
      <c r="A70" s="15"/>
      <c r="B70" s="16"/>
      <c r="C70" s="17"/>
      <c r="D70" s="47" t="s">
        <v>33</v>
      </c>
      <c r="E70" s="26" t="s">
        <v>42</v>
      </c>
      <c r="F70" s="18">
        <v>100</v>
      </c>
      <c r="G70" s="18">
        <f>F70*13.32/90</f>
        <v>14.8</v>
      </c>
      <c r="H70" s="18">
        <f>F70*11.16/90</f>
        <v>12.4</v>
      </c>
      <c r="I70" s="18">
        <f>F70*8.19/90</f>
        <v>9.1</v>
      </c>
      <c r="J70" s="18">
        <f>F70*186.3/90</f>
        <v>207</v>
      </c>
      <c r="K70" s="93">
        <v>44325</v>
      </c>
      <c r="L70" s="116">
        <v>66.540000000000006</v>
      </c>
    </row>
    <row r="71" spans="1:16" ht="15.75">
      <c r="A71" s="15"/>
      <c r="B71" s="16"/>
      <c r="C71" s="17"/>
      <c r="D71" s="47" t="s">
        <v>34</v>
      </c>
      <c r="E71" s="30" t="s">
        <v>48</v>
      </c>
      <c r="F71" s="18">
        <v>180</v>
      </c>
      <c r="G71" s="18">
        <f>F71*6.63/150</f>
        <v>7.9560000000000004</v>
      </c>
      <c r="H71" s="18">
        <f>F71*4.44/150</f>
        <v>5.3280000000000003</v>
      </c>
      <c r="I71" s="18">
        <f>F71*28.8/150</f>
        <v>34.56</v>
      </c>
      <c r="J71" s="18">
        <f>F71*181.5/150</f>
        <v>217.8</v>
      </c>
      <c r="K71" s="81" t="s">
        <v>69</v>
      </c>
      <c r="L71" s="116">
        <v>11.82</v>
      </c>
    </row>
    <row r="72" spans="1:16" ht="15.75">
      <c r="A72" s="15"/>
      <c r="B72" s="16"/>
      <c r="C72" s="17"/>
      <c r="D72" s="47" t="s">
        <v>95</v>
      </c>
      <c r="E72" s="26" t="s">
        <v>54</v>
      </c>
      <c r="F72" s="18">
        <v>200</v>
      </c>
      <c r="G72" s="18">
        <v>0.2</v>
      </c>
      <c r="H72" s="18">
        <v>0.2</v>
      </c>
      <c r="I72" s="18">
        <v>16.8</v>
      </c>
      <c r="J72" s="18">
        <v>70</v>
      </c>
      <c r="K72" s="81">
        <v>44296</v>
      </c>
      <c r="L72" s="116">
        <v>16.04</v>
      </c>
    </row>
    <row r="73" spans="1:16" ht="15.75">
      <c r="A73" s="15"/>
      <c r="B73" s="16"/>
      <c r="C73" s="17"/>
      <c r="D73" s="47" t="s">
        <v>37</v>
      </c>
      <c r="E73" s="19" t="s">
        <v>38</v>
      </c>
      <c r="F73" s="18">
        <v>40</v>
      </c>
      <c r="G73" s="18">
        <f>SUM(F73*2.37/30)</f>
        <v>3.1600000000000006</v>
      </c>
      <c r="H73" s="18">
        <f>SUM(F73*0.3/30)</f>
        <v>0.4</v>
      </c>
      <c r="I73" s="18">
        <f>SUM(F73*14.49/30)</f>
        <v>19.32</v>
      </c>
      <c r="J73" s="18">
        <f>SUM(F73*70.14/30)</f>
        <v>93.52</v>
      </c>
      <c r="K73" s="93" t="s">
        <v>27</v>
      </c>
      <c r="L73" s="116">
        <v>6.4</v>
      </c>
    </row>
    <row r="74" spans="1:16" ht="15.75">
      <c r="A74" s="15"/>
      <c r="B74" s="16"/>
      <c r="C74" s="17"/>
      <c r="D74" s="47" t="s">
        <v>39</v>
      </c>
      <c r="E74" s="19" t="s">
        <v>154</v>
      </c>
      <c r="F74" s="18">
        <v>30</v>
      </c>
      <c r="G74" s="18">
        <f>SUM(F74*1.68/30)</f>
        <v>1.68</v>
      </c>
      <c r="H74" s="18">
        <f>SUM(F74*0.33/30)</f>
        <v>0.33</v>
      </c>
      <c r="I74" s="18">
        <f>SUM(F74*14.82/30)</f>
        <v>14.82</v>
      </c>
      <c r="J74" s="18">
        <f>SUM(F74*68.97/30)</f>
        <v>68.97</v>
      </c>
      <c r="K74" s="93" t="s">
        <v>27</v>
      </c>
      <c r="L74" s="116">
        <v>4.1399999999999997</v>
      </c>
    </row>
    <row r="75" spans="1:16" ht="15.75">
      <c r="A75" s="15"/>
      <c r="B75" s="16"/>
      <c r="C75" s="17"/>
      <c r="D75" s="41"/>
      <c r="E75" s="83"/>
      <c r="F75" s="85"/>
      <c r="G75" s="85"/>
      <c r="H75" s="85"/>
      <c r="I75" s="85"/>
      <c r="J75" s="85"/>
      <c r="K75" s="93"/>
      <c r="L75" s="116"/>
    </row>
    <row r="76" spans="1:16" ht="15.75">
      <c r="A76" s="15"/>
      <c r="B76" s="16"/>
      <c r="C76" s="17"/>
      <c r="D76" s="41"/>
      <c r="E76" s="83"/>
      <c r="F76" s="85"/>
      <c r="G76" s="85"/>
      <c r="H76" s="85"/>
      <c r="I76" s="85"/>
      <c r="J76" s="85"/>
      <c r="K76" s="93"/>
      <c r="L76" s="116"/>
    </row>
    <row r="77" spans="1:16" ht="15.75">
      <c r="A77" s="50"/>
      <c r="B77" s="51"/>
      <c r="C77" s="52"/>
      <c r="D77" s="53" t="s">
        <v>29</v>
      </c>
      <c r="E77" s="103"/>
      <c r="F77" s="104">
        <f>SUM(F68:F76)</f>
        <v>900</v>
      </c>
      <c r="G77" s="104">
        <f t="shared" ref="G77" si="18">SUM(G68:G76)</f>
        <v>39.212666666666678</v>
      </c>
      <c r="H77" s="104">
        <f t="shared" ref="H77" si="19">SUM(H68:H76)</f>
        <v>29.407999999999994</v>
      </c>
      <c r="I77" s="104">
        <f t="shared" ref="I77" si="20">SUM(I68:I76)</f>
        <v>115.55833333333334</v>
      </c>
      <c r="J77" s="104">
        <f t="shared" ref="J77" si="21">SUM(J68:J76)</f>
        <v>881.45666666666671</v>
      </c>
      <c r="K77" s="132"/>
      <c r="L77" s="118">
        <f>SUM(L68:L76)</f>
        <v>167.04999999999998</v>
      </c>
      <c r="M77" s="154"/>
    </row>
    <row r="78" spans="1:16" ht="15.75" customHeight="1" thickBot="1">
      <c r="A78" s="54">
        <f>A60</f>
        <v>1</v>
      </c>
      <c r="B78" s="55">
        <f>B60</f>
        <v>4</v>
      </c>
      <c r="C78" s="171" t="s">
        <v>40</v>
      </c>
      <c r="D78" s="172"/>
      <c r="E78" s="105"/>
      <c r="F78" s="106">
        <f>F67+F77</f>
        <v>1510</v>
      </c>
      <c r="G78" s="106">
        <f t="shared" ref="G78" si="22">G67+G77</f>
        <v>66.387666666666675</v>
      </c>
      <c r="H78" s="106">
        <f t="shared" ref="H78" si="23">H67+H77</f>
        <v>53.682999999999993</v>
      </c>
      <c r="I78" s="106">
        <f t="shared" ref="I78" si="24">I67+I77</f>
        <v>208.75833333333333</v>
      </c>
      <c r="J78" s="106">
        <f t="shared" ref="J78:L78" si="25">J67+J77</f>
        <v>1581.4316666666668</v>
      </c>
      <c r="K78" s="140"/>
      <c r="L78" s="124">
        <f t="shared" si="25"/>
        <v>314.87</v>
      </c>
    </row>
    <row r="79" spans="1:16" ht="16.5" thickBot="1">
      <c r="A79" s="11">
        <v>1</v>
      </c>
      <c r="B79" s="12">
        <v>5</v>
      </c>
      <c r="C79" s="13" t="s">
        <v>22</v>
      </c>
      <c r="D79" s="46"/>
      <c r="E79" s="30"/>
      <c r="F79" s="18"/>
      <c r="G79" s="18"/>
      <c r="H79" s="18"/>
      <c r="I79" s="18"/>
      <c r="J79" s="18"/>
      <c r="K79" s="87"/>
      <c r="L79" s="114"/>
    </row>
    <row r="80" spans="1:16" ht="15.75">
      <c r="A80" s="15"/>
      <c r="B80" s="16"/>
      <c r="C80" s="17"/>
      <c r="D80" s="46" t="s">
        <v>23</v>
      </c>
      <c r="E80" s="73" t="s">
        <v>114</v>
      </c>
      <c r="F80" s="76">
        <v>240</v>
      </c>
      <c r="G80" s="76">
        <f>F80*19.5/200</f>
        <v>23.4</v>
      </c>
      <c r="H80" s="76">
        <f>F80*21.2/200</f>
        <v>25.44</v>
      </c>
      <c r="I80" s="76">
        <f>F80*17.7/200</f>
        <v>21.24</v>
      </c>
      <c r="J80" s="76">
        <f>F80*339.6/200</f>
        <v>407.52</v>
      </c>
      <c r="K80" s="81" t="s">
        <v>116</v>
      </c>
      <c r="L80" s="116">
        <v>77.41</v>
      </c>
    </row>
    <row r="81" spans="1:12" ht="15.75">
      <c r="A81" s="15"/>
      <c r="B81" s="16"/>
      <c r="C81" s="17"/>
      <c r="D81" s="47" t="s">
        <v>24</v>
      </c>
      <c r="E81" s="75" t="s">
        <v>115</v>
      </c>
      <c r="F81" s="88">
        <v>200</v>
      </c>
      <c r="G81" s="76">
        <v>0.1</v>
      </c>
      <c r="H81" s="76">
        <v>0</v>
      </c>
      <c r="I81" s="76">
        <v>9.8000000000000007</v>
      </c>
      <c r="J81" s="76">
        <v>39</v>
      </c>
      <c r="K81" s="81" t="s">
        <v>117</v>
      </c>
      <c r="L81" s="116">
        <v>3.03</v>
      </c>
    </row>
    <row r="82" spans="1:12" ht="15.75">
      <c r="A82" s="15"/>
      <c r="B82" s="16"/>
      <c r="C82" s="17"/>
      <c r="D82" s="47" t="s">
        <v>26</v>
      </c>
      <c r="E82" s="75" t="s">
        <v>28</v>
      </c>
      <c r="F82" s="14">
        <v>60</v>
      </c>
      <c r="G82" s="14">
        <f>F82*6.1/50</f>
        <v>7.32</v>
      </c>
      <c r="H82" s="14">
        <f>F82*3.7/50</f>
        <v>4.4400000000000004</v>
      </c>
      <c r="I82" s="14">
        <f>F82*17.5/50</f>
        <v>21</v>
      </c>
      <c r="J82" s="14">
        <f>F82*127.7/50</f>
        <v>153.24</v>
      </c>
      <c r="K82" s="81">
        <v>44240</v>
      </c>
      <c r="L82" s="116">
        <v>38.36</v>
      </c>
    </row>
    <row r="83" spans="1:12" ht="15.75">
      <c r="A83" s="15"/>
      <c r="B83" s="16"/>
      <c r="C83" s="17"/>
      <c r="D83" s="47" t="s">
        <v>39</v>
      </c>
      <c r="E83" s="19" t="s">
        <v>154</v>
      </c>
      <c r="F83" s="28">
        <v>50</v>
      </c>
      <c r="G83" s="28">
        <f>SUM(F83*1.68/30)</f>
        <v>2.8</v>
      </c>
      <c r="H83" s="28">
        <f>SUM(F83*0.33/30)</f>
        <v>0.55000000000000004</v>
      </c>
      <c r="I83" s="28">
        <f>SUM(F83*14.82/30)</f>
        <v>24.7</v>
      </c>
      <c r="J83" s="28">
        <f>SUM(F83*68.97/30)</f>
        <v>114.95</v>
      </c>
      <c r="K83" s="93" t="s">
        <v>27</v>
      </c>
      <c r="L83" s="116">
        <v>6.63</v>
      </c>
    </row>
    <row r="84" spans="1:12" ht="31.5">
      <c r="A84" s="15"/>
      <c r="B84" s="16"/>
      <c r="C84" s="17"/>
      <c r="D84" s="47"/>
      <c r="E84" s="19" t="s">
        <v>152</v>
      </c>
      <c r="F84" s="18">
        <v>60</v>
      </c>
      <c r="G84" s="18">
        <f>F84*0.7/60</f>
        <v>0.7</v>
      </c>
      <c r="H84" s="18">
        <f>F84*3.6/60</f>
        <v>3.6</v>
      </c>
      <c r="I84" s="18">
        <f>F84*9.7/60</f>
        <v>9.6999999999999993</v>
      </c>
      <c r="J84" s="18">
        <f>F84*74/60</f>
        <v>74</v>
      </c>
      <c r="K84" s="93" t="s">
        <v>141</v>
      </c>
      <c r="L84" s="116">
        <v>22.39</v>
      </c>
    </row>
    <row r="85" spans="1:12" ht="15.75">
      <c r="A85" s="50"/>
      <c r="B85" s="51"/>
      <c r="C85" s="52"/>
      <c r="D85" s="53" t="s">
        <v>29</v>
      </c>
      <c r="E85" s="103"/>
      <c r="F85" s="118">
        <f>SUM(F79:F84)</f>
        <v>610</v>
      </c>
      <c r="G85" s="118">
        <f>G80+G81+G82+G83+G84</f>
        <v>34.32</v>
      </c>
      <c r="H85" s="118">
        <f>SUM(H80:H84)</f>
        <v>34.03</v>
      </c>
      <c r="I85" s="118">
        <f>SUM(I80:I84)</f>
        <v>86.44</v>
      </c>
      <c r="J85" s="118">
        <f>SUM(J80:J84)</f>
        <v>788.71</v>
      </c>
      <c r="K85" s="133"/>
      <c r="L85" s="118">
        <f>SUM(L79:L84)</f>
        <v>147.82</v>
      </c>
    </row>
    <row r="86" spans="1:12" ht="31.5">
      <c r="A86" s="22">
        <f>A79</f>
        <v>1</v>
      </c>
      <c r="B86" s="23">
        <f>B79</f>
        <v>5</v>
      </c>
      <c r="C86" s="24" t="s">
        <v>30</v>
      </c>
      <c r="D86" s="47" t="s">
        <v>31</v>
      </c>
      <c r="E86" s="74" t="s">
        <v>118</v>
      </c>
      <c r="F86" s="76">
        <v>100</v>
      </c>
      <c r="G86" s="76">
        <f>F86*0.7/60</f>
        <v>1.1666666666666667</v>
      </c>
      <c r="H86" s="76">
        <f>F86*3.6/60</f>
        <v>6</v>
      </c>
      <c r="I86" s="76">
        <f>F86*7.5/60</f>
        <v>12.5</v>
      </c>
      <c r="J86" s="76">
        <f>F86*65.2/60</f>
        <v>108.66666666666667</v>
      </c>
      <c r="K86" s="93" t="s">
        <v>121</v>
      </c>
      <c r="L86" s="116">
        <v>15.09</v>
      </c>
    </row>
    <row r="87" spans="1:12" ht="31.5">
      <c r="A87" s="15"/>
      <c r="B87" s="16"/>
      <c r="C87" s="17"/>
      <c r="D87" s="47" t="s">
        <v>32</v>
      </c>
      <c r="E87" s="75" t="s">
        <v>119</v>
      </c>
      <c r="F87" s="76">
        <v>250</v>
      </c>
      <c r="G87" s="76">
        <f>F87*6.22/200</f>
        <v>7.7750000000000004</v>
      </c>
      <c r="H87" s="76">
        <f>F87*7.56/200</f>
        <v>9.4499999999999993</v>
      </c>
      <c r="I87" s="76">
        <f>F87*27.03/200</f>
        <v>33.787500000000001</v>
      </c>
      <c r="J87" s="76">
        <f>F87*201.04/200</f>
        <v>251.3</v>
      </c>
      <c r="K87" s="93" t="s">
        <v>122</v>
      </c>
      <c r="L87" s="116">
        <v>27.41</v>
      </c>
    </row>
    <row r="88" spans="1:12" ht="15.75">
      <c r="A88" s="15"/>
      <c r="B88" s="16"/>
      <c r="C88" s="17"/>
      <c r="D88" s="47" t="s">
        <v>33</v>
      </c>
      <c r="E88" s="79" t="s">
        <v>120</v>
      </c>
      <c r="F88" s="14">
        <v>110</v>
      </c>
      <c r="G88" s="18">
        <f>F88*11.7/90</f>
        <v>14.3</v>
      </c>
      <c r="H88" s="18">
        <f>F88*11.61/90</f>
        <v>14.19</v>
      </c>
      <c r="I88" s="18">
        <f>F88*5.76/90</f>
        <v>7.04</v>
      </c>
      <c r="J88" s="18">
        <f>F88*175/90</f>
        <v>213.88888888888889</v>
      </c>
      <c r="K88" s="93" t="s">
        <v>123</v>
      </c>
      <c r="L88" s="116">
        <v>81.680000000000007</v>
      </c>
    </row>
    <row r="89" spans="1:12" ht="15.75">
      <c r="A89" s="15"/>
      <c r="B89" s="16"/>
      <c r="C89" s="17"/>
      <c r="D89" s="47" t="s">
        <v>34</v>
      </c>
      <c r="E89" s="73" t="s">
        <v>56</v>
      </c>
      <c r="F89" s="18">
        <v>180</v>
      </c>
      <c r="G89" s="18">
        <f>F89*3.17/150</f>
        <v>3.8040000000000003</v>
      </c>
      <c r="H89" s="18">
        <f>F89*3.6/150</f>
        <v>4.32</v>
      </c>
      <c r="I89" s="18">
        <f>F89*20.4/150</f>
        <v>24.479999999999997</v>
      </c>
      <c r="J89" s="28">
        <f>F89*128/150</f>
        <v>153.6</v>
      </c>
      <c r="K89" s="93">
        <v>44258</v>
      </c>
      <c r="L89" s="116">
        <v>21.99</v>
      </c>
    </row>
    <row r="90" spans="1:12" ht="15.75">
      <c r="A90" s="15"/>
      <c r="B90" s="16"/>
      <c r="C90" s="17"/>
      <c r="D90" s="47" t="s">
        <v>95</v>
      </c>
      <c r="E90" s="75" t="s">
        <v>60</v>
      </c>
      <c r="F90" s="76">
        <v>200</v>
      </c>
      <c r="G90" s="76">
        <v>0.2</v>
      </c>
      <c r="H90" s="76">
        <v>0.1</v>
      </c>
      <c r="I90" s="76">
        <v>13.1</v>
      </c>
      <c r="J90" s="76">
        <v>54</v>
      </c>
      <c r="K90" s="93" t="s">
        <v>61</v>
      </c>
      <c r="L90" s="116">
        <v>7.66</v>
      </c>
    </row>
    <row r="91" spans="1:12" ht="15.75">
      <c r="A91" s="15"/>
      <c r="B91" s="16"/>
      <c r="C91" s="17"/>
      <c r="D91" s="47" t="s">
        <v>37</v>
      </c>
      <c r="E91" s="19" t="s">
        <v>38</v>
      </c>
      <c r="F91" s="18">
        <v>50</v>
      </c>
      <c r="G91" s="18">
        <f>SUM(F91*2.37/30)</f>
        <v>3.95</v>
      </c>
      <c r="H91" s="18">
        <f>SUM(F91*0.3/30)</f>
        <v>0.5</v>
      </c>
      <c r="I91" s="18">
        <f>SUM(F91*14.49/30)</f>
        <v>24.15</v>
      </c>
      <c r="J91" s="18">
        <f>SUM(F91*70.14/30)</f>
        <v>116.9</v>
      </c>
      <c r="K91" s="93" t="s">
        <v>27</v>
      </c>
      <c r="L91" s="116">
        <v>7.3</v>
      </c>
    </row>
    <row r="92" spans="1:12" ht="15.75">
      <c r="A92" s="15"/>
      <c r="B92" s="16"/>
      <c r="C92" s="17"/>
      <c r="D92" s="47" t="s">
        <v>39</v>
      </c>
      <c r="E92" s="74" t="s">
        <v>154</v>
      </c>
      <c r="F92" s="28">
        <v>30</v>
      </c>
      <c r="G92" s="28">
        <f>SUM(F92*1.68/30)</f>
        <v>1.68</v>
      </c>
      <c r="H92" s="28">
        <f>SUM(F92*0.33/30)</f>
        <v>0.33</v>
      </c>
      <c r="I92" s="28">
        <f>SUM(F92*14.82/30)</f>
        <v>14.82</v>
      </c>
      <c r="J92" s="28">
        <f>SUM(F92*68.97/30)</f>
        <v>68.97</v>
      </c>
      <c r="K92" s="93" t="s">
        <v>27</v>
      </c>
      <c r="L92" s="116">
        <v>5.92</v>
      </c>
    </row>
    <row r="93" spans="1:12" ht="15.75">
      <c r="A93" s="15"/>
      <c r="B93" s="16"/>
      <c r="C93" s="17"/>
      <c r="D93" s="41"/>
      <c r="E93" s="83"/>
      <c r="F93" s="85"/>
      <c r="G93" s="85"/>
      <c r="H93" s="85"/>
      <c r="I93" s="85"/>
      <c r="J93" s="85"/>
      <c r="K93" s="93"/>
      <c r="L93" s="116"/>
    </row>
    <row r="94" spans="1:12" ht="15.75">
      <c r="A94" s="15"/>
      <c r="B94" s="16"/>
      <c r="C94" s="17"/>
      <c r="D94" s="41"/>
      <c r="E94" s="83"/>
      <c r="F94" s="85"/>
      <c r="G94" s="85"/>
      <c r="H94" s="85"/>
      <c r="I94" s="85"/>
      <c r="J94" s="85"/>
      <c r="K94" s="93"/>
      <c r="L94" s="116"/>
    </row>
    <row r="95" spans="1:12" ht="15.75">
      <c r="A95" s="50"/>
      <c r="B95" s="51"/>
      <c r="C95" s="52"/>
      <c r="D95" s="53" t="s">
        <v>29</v>
      </c>
      <c r="E95" s="103"/>
      <c r="F95" s="104">
        <f>SUM(F86:F94)</f>
        <v>920</v>
      </c>
      <c r="G95" s="104">
        <f t="shared" ref="G95" si="26">SUM(G86:G94)</f>
        <v>32.875666666666667</v>
      </c>
      <c r="H95" s="104">
        <f t="shared" ref="H95" si="27">SUM(H86:H94)</f>
        <v>34.89</v>
      </c>
      <c r="I95" s="104">
        <f t="shared" ref="I95" si="28">SUM(I86:I94)</f>
        <v>129.8775</v>
      </c>
      <c r="J95" s="104">
        <f t="shared" ref="J95:L95" si="29">SUM(J86:J94)</f>
        <v>967.32555555555564</v>
      </c>
      <c r="K95" s="132"/>
      <c r="L95" s="121">
        <f t="shared" si="29"/>
        <v>167.05</v>
      </c>
    </row>
    <row r="96" spans="1:12" ht="15.75" customHeight="1" thickBot="1">
      <c r="A96" s="54">
        <f>A79</f>
        <v>1</v>
      </c>
      <c r="B96" s="55">
        <f>B79</f>
        <v>5</v>
      </c>
      <c r="C96" s="171" t="s">
        <v>40</v>
      </c>
      <c r="D96" s="172"/>
      <c r="E96" s="105"/>
      <c r="F96" s="106">
        <f>F85+F95</f>
        <v>1530</v>
      </c>
      <c r="G96" s="106">
        <f t="shared" ref="G96" si="30">G85+G95</f>
        <v>67.195666666666668</v>
      </c>
      <c r="H96" s="106">
        <f t="shared" ref="H96" si="31">H85+H95</f>
        <v>68.92</v>
      </c>
      <c r="I96" s="106">
        <f t="shared" ref="I96" si="32">I85+I95</f>
        <v>216.3175</v>
      </c>
      <c r="J96" s="106">
        <f t="shared" ref="J96:L96" si="33">J85+J95</f>
        <v>1756.0355555555557</v>
      </c>
      <c r="K96" s="140"/>
      <c r="L96" s="122">
        <f t="shared" si="33"/>
        <v>314.87</v>
      </c>
    </row>
    <row r="97" spans="1:15" ht="31.5">
      <c r="A97" s="11">
        <v>2</v>
      </c>
      <c r="B97" s="12">
        <v>1</v>
      </c>
      <c r="C97" s="13" t="s">
        <v>22</v>
      </c>
      <c r="D97" s="46" t="s">
        <v>23</v>
      </c>
      <c r="E97" s="74" t="s">
        <v>124</v>
      </c>
      <c r="F97" s="76">
        <v>230</v>
      </c>
      <c r="G97" s="76">
        <f>F97*5.5/200</f>
        <v>6.3250000000000002</v>
      </c>
      <c r="H97" s="76">
        <f>F97*9.9/200</f>
        <v>11.385</v>
      </c>
      <c r="I97" s="76">
        <f>F97*39.26/200</f>
        <v>45.148999999999994</v>
      </c>
      <c r="J97" s="76">
        <f>F97*268.14/200</f>
        <v>308.36099999999999</v>
      </c>
      <c r="K97" s="101">
        <v>44443</v>
      </c>
      <c r="L97" s="114">
        <v>34.159999999999997</v>
      </c>
    </row>
    <row r="98" spans="1:15" ht="15.75">
      <c r="A98" s="15"/>
      <c r="B98" s="16"/>
      <c r="C98" s="17"/>
      <c r="D98" s="41" t="s">
        <v>64</v>
      </c>
      <c r="E98" s="74" t="s">
        <v>82</v>
      </c>
      <c r="F98" s="18">
        <v>100</v>
      </c>
      <c r="G98" s="18">
        <f>F98*0.4/100</f>
        <v>0.4</v>
      </c>
      <c r="H98" s="18">
        <f>F98*0.4/100</f>
        <v>0.4</v>
      </c>
      <c r="I98" s="18">
        <f>F98*10.95/100</f>
        <v>10.95</v>
      </c>
      <c r="J98" s="18">
        <f>F98*49/100</f>
        <v>49</v>
      </c>
      <c r="K98" s="93" t="s">
        <v>27</v>
      </c>
      <c r="L98" s="123">
        <v>35.79</v>
      </c>
    </row>
    <row r="99" spans="1:15" ht="15.75">
      <c r="A99" s="15"/>
      <c r="B99" s="16"/>
      <c r="C99" s="17"/>
      <c r="D99" s="47" t="s">
        <v>24</v>
      </c>
      <c r="E99" s="74" t="s">
        <v>25</v>
      </c>
      <c r="F99" s="76">
        <v>200</v>
      </c>
      <c r="G99" s="76">
        <v>3.1</v>
      </c>
      <c r="H99" s="76">
        <v>3.2</v>
      </c>
      <c r="I99" s="76">
        <v>14.4</v>
      </c>
      <c r="J99" s="76">
        <v>99</v>
      </c>
      <c r="K99" s="93" t="s">
        <v>63</v>
      </c>
      <c r="L99" s="116">
        <v>15.53</v>
      </c>
    </row>
    <row r="100" spans="1:15" ht="15.75">
      <c r="A100" s="15"/>
      <c r="B100" s="16"/>
      <c r="C100" s="17"/>
      <c r="D100" s="41" t="s">
        <v>26</v>
      </c>
      <c r="E100" s="75" t="s">
        <v>28</v>
      </c>
      <c r="F100" s="14">
        <v>50</v>
      </c>
      <c r="G100" s="14">
        <f>F100*6.1/50</f>
        <v>6.1</v>
      </c>
      <c r="H100" s="14">
        <f>F100*3.7/50</f>
        <v>3.7</v>
      </c>
      <c r="I100" s="14">
        <f>F100*17.5/50</f>
        <v>17.5</v>
      </c>
      <c r="J100" s="14">
        <f>F100*127.7/50</f>
        <v>127.7</v>
      </c>
      <c r="K100" s="81">
        <v>44240</v>
      </c>
      <c r="L100" s="123">
        <v>44.69</v>
      </c>
    </row>
    <row r="101" spans="1:15" ht="15.75">
      <c r="A101" s="15"/>
      <c r="B101" s="16"/>
      <c r="C101" s="17"/>
      <c r="D101" s="47" t="s">
        <v>39</v>
      </c>
      <c r="E101" s="74" t="s">
        <v>154</v>
      </c>
      <c r="F101" s="28">
        <v>40</v>
      </c>
      <c r="G101" s="28">
        <f>SUM(F101*1.68/30)</f>
        <v>2.2400000000000002</v>
      </c>
      <c r="H101" s="28">
        <f>SUM(F101*0.33/30)</f>
        <v>0.44000000000000006</v>
      </c>
      <c r="I101" s="28">
        <f>SUM(F101*14.82/30)</f>
        <v>19.759999999999998</v>
      </c>
      <c r="J101" s="28">
        <f>SUM(F101*68.97/30)</f>
        <v>91.960000000000008</v>
      </c>
      <c r="K101" s="93" t="s">
        <v>27</v>
      </c>
      <c r="L101" s="123">
        <v>4.8499999999999996</v>
      </c>
    </row>
    <row r="102" spans="1:15" ht="15.75">
      <c r="A102" s="15"/>
      <c r="B102" s="16"/>
      <c r="C102" s="17"/>
      <c r="D102" s="155"/>
      <c r="E102" s="102" t="s">
        <v>149</v>
      </c>
      <c r="F102" s="130">
        <v>40</v>
      </c>
      <c r="G102" s="130">
        <v>5.0999999999999996</v>
      </c>
      <c r="H102" s="130">
        <v>4.68</v>
      </c>
      <c r="I102" s="130">
        <v>0.3</v>
      </c>
      <c r="J102" s="130">
        <v>63</v>
      </c>
      <c r="K102" s="115" t="s">
        <v>150</v>
      </c>
      <c r="L102" s="116">
        <v>12.8</v>
      </c>
      <c r="M102" s="154"/>
    </row>
    <row r="103" spans="1:15" ht="15.75">
      <c r="A103" s="50"/>
      <c r="B103" s="51"/>
      <c r="C103" s="52"/>
      <c r="D103" s="53" t="s">
        <v>29</v>
      </c>
      <c r="E103" s="103"/>
      <c r="F103" s="118">
        <f>SUM(F97:F102)</f>
        <v>660</v>
      </c>
      <c r="G103" s="118">
        <f>SUM(G97:G102)</f>
        <v>23.265000000000001</v>
      </c>
      <c r="H103" s="118">
        <f>SUM(H97:H102)</f>
        <v>23.805</v>
      </c>
      <c r="I103" s="118">
        <f>SUM(I97:I102)</f>
        <v>108.05899999999998</v>
      </c>
      <c r="J103" s="118">
        <f>SUM(J97:J102)</f>
        <v>739.02100000000007</v>
      </c>
      <c r="K103" s="132"/>
      <c r="L103" s="118">
        <f>SUM(L97:L102)</f>
        <v>147.82</v>
      </c>
    </row>
    <row r="104" spans="1:15" ht="31.5">
      <c r="A104" s="22">
        <f>A97</f>
        <v>2</v>
      </c>
      <c r="B104" s="23">
        <f>B97</f>
        <v>1</v>
      </c>
      <c r="C104" s="24" t="s">
        <v>30</v>
      </c>
      <c r="D104" s="47" t="s">
        <v>31</v>
      </c>
      <c r="E104" s="30" t="s">
        <v>91</v>
      </c>
      <c r="F104" s="18">
        <v>100</v>
      </c>
      <c r="G104" s="18">
        <f>F104*1.5/60</f>
        <v>2.5</v>
      </c>
      <c r="H104" s="18">
        <f>F104*6/60</f>
        <v>10</v>
      </c>
      <c r="I104" s="18">
        <f>F104*4.25/60</f>
        <v>7.083333333333333</v>
      </c>
      <c r="J104" s="18">
        <f>F104*77/60</f>
        <v>128.33333333333334</v>
      </c>
      <c r="K104" s="81">
        <v>44409</v>
      </c>
      <c r="L104" s="56">
        <v>17.170000000000002</v>
      </c>
    </row>
    <row r="105" spans="1:15" ht="31.5">
      <c r="A105" s="15"/>
      <c r="B105" s="16"/>
      <c r="C105" s="17"/>
      <c r="D105" s="47" t="s">
        <v>32</v>
      </c>
      <c r="E105" s="30" t="s">
        <v>157</v>
      </c>
      <c r="F105" s="18">
        <v>250</v>
      </c>
      <c r="G105" s="18">
        <f>F105*2.6/200</f>
        <v>3.25</v>
      </c>
      <c r="H105" s="18">
        <f>F105*3/200</f>
        <v>3.75</v>
      </c>
      <c r="I105" s="18">
        <f>F105*17.4/200</f>
        <v>21.75</v>
      </c>
      <c r="J105" s="18">
        <f>F105*106/200</f>
        <v>132.5</v>
      </c>
      <c r="K105" s="81" t="s">
        <v>89</v>
      </c>
      <c r="L105" s="56">
        <v>31.13</v>
      </c>
    </row>
    <row r="106" spans="1:15" ht="15.75">
      <c r="A106" s="15"/>
      <c r="B106" s="16"/>
      <c r="C106" s="17"/>
      <c r="D106" s="47" t="s">
        <v>88</v>
      </c>
      <c r="E106" s="19" t="s">
        <v>81</v>
      </c>
      <c r="F106" s="18">
        <v>30</v>
      </c>
      <c r="G106" s="18">
        <f>F106*1.71/20</f>
        <v>2.5649999999999999</v>
      </c>
      <c r="H106" s="18">
        <f>F106*0.17/20</f>
        <v>0.255</v>
      </c>
      <c r="I106" s="18">
        <f>F106*10.75/20</f>
        <v>16.125</v>
      </c>
      <c r="J106" s="18">
        <f>F106*51.4/20</f>
        <v>77.099999999999994</v>
      </c>
      <c r="K106" s="81" t="s">
        <v>90</v>
      </c>
      <c r="L106" s="56">
        <v>6.91</v>
      </c>
    </row>
    <row r="107" spans="1:15" ht="15.75">
      <c r="A107" s="15"/>
      <c r="B107" s="16"/>
      <c r="C107" s="17"/>
      <c r="D107" s="47" t="s">
        <v>33</v>
      </c>
      <c r="E107" s="26" t="s">
        <v>42</v>
      </c>
      <c r="F107" s="18">
        <v>100</v>
      </c>
      <c r="G107" s="18">
        <f>F107*13.32/90</f>
        <v>14.8</v>
      </c>
      <c r="H107" s="18">
        <f>F107*11.16/90</f>
        <v>12.4</v>
      </c>
      <c r="I107" s="18">
        <f>F107*8.19/90</f>
        <v>9.1</v>
      </c>
      <c r="J107" s="18">
        <f>F107*186.3/90</f>
        <v>207</v>
      </c>
      <c r="K107" s="93">
        <v>44325</v>
      </c>
      <c r="L107" s="56">
        <v>79.81</v>
      </c>
    </row>
    <row r="108" spans="1:15" ht="15.75">
      <c r="A108" s="15"/>
      <c r="B108" s="16"/>
      <c r="C108" s="17"/>
      <c r="D108" s="47" t="s">
        <v>34</v>
      </c>
      <c r="E108" s="30" t="s">
        <v>48</v>
      </c>
      <c r="F108" s="18">
        <v>180</v>
      </c>
      <c r="G108" s="18">
        <f>F108*6.63/150</f>
        <v>7.9560000000000004</v>
      </c>
      <c r="H108" s="18">
        <f>F108*4.44/150</f>
        <v>5.3280000000000003</v>
      </c>
      <c r="I108" s="18">
        <f>F108*28.8/150</f>
        <v>34.56</v>
      </c>
      <c r="J108" s="18">
        <f>F108*181.5/150</f>
        <v>217.8</v>
      </c>
      <c r="K108" s="81" t="s">
        <v>69</v>
      </c>
      <c r="L108" s="56">
        <v>13.14</v>
      </c>
      <c r="O108" s="57"/>
    </row>
    <row r="109" spans="1:15" ht="15.75">
      <c r="A109" s="15"/>
      <c r="B109" s="16"/>
      <c r="C109" s="17"/>
      <c r="D109" s="47" t="s">
        <v>95</v>
      </c>
      <c r="E109" s="73" t="s">
        <v>125</v>
      </c>
      <c r="F109" s="80">
        <v>200</v>
      </c>
      <c r="G109" s="80">
        <v>1</v>
      </c>
      <c r="H109" s="80">
        <v>0</v>
      </c>
      <c r="I109" s="80">
        <v>27.4</v>
      </c>
      <c r="J109" s="80">
        <v>114</v>
      </c>
      <c r="K109" s="81" t="s">
        <v>126</v>
      </c>
      <c r="L109" s="56">
        <v>12.38</v>
      </c>
    </row>
    <row r="110" spans="1:15" ht="15.75">
      <c r="A110" s="15"/>
      <c r="B110" s="16"/>
      <c r="C110" s="17"/>
      <c r="D110" s="47" t="s">
        <v>39</v>
      </c>
      <c r="E110" s="19" t="s">
        <v>154</v>
      </c>
      <c r="F110" s="28">
        <v>30</v>
      </c>
      <c r="G110" s="28">
        <f>SUM(F110*1.68/30)</f>
        <v>1.68</v>
      </c>
      <c r="H110" s="28">
        <f>SUM(F110*0.33/30)</f>
        <v>0.33</v>
      </c>
      <c r="I110" s="28">
        <f>SUM(F110*14.82/30)</f>
        <v>14.82</v>
      </c>
      <c r="J110" s="28">
        <f>SUM(F110*68.97/30)</f>
        <v>68.97</v>
      </c>
      <c r="K110" s="81" t="s">
        <v>41</v>
      </c>
      <c r="L110" s="56">
        <v>6.51</v>
      </c>
    </row>
    <row r="111" spans="1:15" ht="15.75">
      <c r="A111" s="15"/>
      <c r="B111" s="16"/>
      <c r="C111" s="17"/>
      <c r="D111" s="41"/>
      <c r="E111" s="30"/>
      <c r="F111" s="28"/>
      <c r="G111" s="28"/>
      <c r="H111" s="28"/>
      <c r="I111" s="28"/>
      <c r="J111" s="28"/>
      <c r="K111" s="81"/>
      <c r="L111" s="56"/>
    </row>
    <row r="112" spans="1:15" ht="15.75">
      <c r="A112" s="15"/>
      <c r="B112" s="16"/>
      <c r="C112" s="17"/>
      <c r="D112" s="41"/>
      <c r="E112" s="83"/>
      <c r="F112" s="85"/>
      <c r="G112" s="85"/>
      <c r="H112" s="85"/>
      <c r="I112" s="85"/>
      <c r="J112" s="85"/>
      <c r="K112" s="93"/>
      <c r="L112" s="123"/>
    </row>
    <row r="113" spans="1:16" ht="15.75">
      <c r="A113" s="50"/>
      <c r="B113" s="51"/>
      <c r="C113" s="52"/>
      <c r="D113" s="53" t="s">
        <v>29</v>
      </c>
      <c r="E113" s="103"/>
      <c r="F113" s="118">
        <f>SUM(F104:F112)</f>
        <v>890</v>
      </c>
      <c r="G113" s="118">
        <f>SUM(G104:G112)</f>
        <v>33.750999999999998</v>
      </c>
      <c r="H113" s="118">
        <f>SUM(H104:H112)</f>
        <v>32.063000000000002</v>
      </c>
      <c r="I113" s="118">
        <f>SUM(I104:I112)</f>
        <v>130.83833333333334</v>
      </c>
      <c r="J113" s="118">
        <f>SUM(J104:J112)</f>
        <v>945.70333333333338</v>
      </c>
      <c r="K113" s="133"/>
      <c r="L113" s="118">
        <f>SUM(L104:L112)</f>
        <v>167.04999999999995</v>
      </c>
    </row>
    <row r="114" spans="1:16" ht="16.5" thickBot="1">
      <c r="A114" s="54">
        <f>A97</f>
        <v>2</v>
      </c>
      <c r="B114" s="55">
        <f>B97</f>
        <v>1</v>
      </c>
      <c r="C114" s="171" t="s">
        <v>40</v>
      </c>
      <c r="D114" s="172"/>
      <c r="E114" s="105"/>
      <c r="F114" s="124">
        <f>F103+F113</f>
        <v>1550</v>
      </c>
      <c r="G114" s="124">
        <f>G103+G113</f>
        <v>57.015999999999998</v>
      </c>
      <c r="H114" s="124">
        <f>H103+H113</f>
        <v>55.868000000000002</v>
      </c>
      <c r="I114" s="124">
        <f>I103+I113</f>
        <v>238.89733333333334</v>
      </c>
      <c r="J114" s="124">
        <f>J103+J113</f>
        <v>1684.7243333333336</v>
      </c>
      <c r="K114" s="141"/>
      <c r="L114" s="124">
        <f>L103+L113</f>
        <v>314.86999999999995</v>
      </c>
    </row>
    <row r="115" spans="1:16" ht="31.5">
      <c r="A115" s="25">
        <v>2</v>
      </c>
      <c r="B115" s="16">
        <v>2</v>
      </c>
      <c r="C115" s="13" t="s">
        <v>22</v>
      </c>
      <c r="D115" s="46" t="s">
        <v>23</v>
      </c>
      <c r="E115" s="26" t="s">
        <v>98</v>
      </c>
      <c r="F115" s="18">
        <v>230</v>
      </c>
      <c r="G115" s="18">
        <f>F115*30.42/180</f>
        <v>38.870000000000005</v>
      </c>
      <c r="H115" s="18">
        <f>F115*17.28/180</f>
        <v>22.080000000000002</v>
      </c>
      <c r="I115" s="18">
        <f>F115*23.76/180</f>
        <v>30.36</v>
      </c>
      <c r="J115" s="18">
        <f>F115*372.6/180</f>
        <v>476.1</v>
      </c>
      <c r="K115" s="101">
        <v>4443</v>
      </c>
      <c r="L115" s="114">
        <v>106.89</v>
      </c>
      <c r="P115" s="1">
        <v>23.76</v>
      </c>
    </row>
    <row r="116" spans="1:16" ht="15.75">
      <c r="A116" s="25"/>
      <c r="B116" s="16"/>
      <c r="C116" s="17"/>
      <c r="D116" s="47" t="s">
        <v>26</v>
      </c>
      <c r="E116" s="26" t="s">
        <v>68</v>
      </c>
      <c r="F116" s="18">
        <v>70</v>
      </c>
      <c r="G116" s="18">
        <f>F116*4.67/70</f>
        <v>4.67</v>
      </c>
      <c r="H116" s="18">
        <f>F116*9.1/70</f>
        <v>9.1</v>
      </c>
      <c r="I116" s="18">
        <f>F116*28.35/70</f>
        <v>28.35</v>
      </c>
      <c r="J116" s="18">
        <f>F116*213.5/70</f>
        <v>213.5</v>
      </c>
      <c r="K116" s="93">
        <v>44209</v>
      </c>
      <c r="L116" s="116">
        <v>31.2</v>
      </c>
    </row>
    <row r="117" spans="1:16" ht="15.75">
      <c r="A117" s="25"/>
      <c r="B117" s="16"/>
      <c r="C117" s="17"/>
      <c r="D117" s="47" t="s">
        <v>24</v>
      </c>
      <c r="E117" s="26" t="s">
        <v>66</v>
      </c>
      <c r="F117" s="32">
        <v>200</v>
      </c>
      <c r="G117" s="18">
        <v>0.2</v>
      </c>
      <c r="H117" s="18">
        <v>0</v>
      </c>
      <c r="I117" s="18">
        <v>13.7</v>
      </c>
      <c r="J117" s="18">
        <v>56</v>
      </c>
      <c r="K117" s="93" t="s">
        <v>67</v>
      </c>
      <c r="L117" s="116">
        <v>3.81</v>
      </c>
    </row>
    <row r="118" spans="1:16" ht="15.75">
      <c r="A118" s="25"/>
      <c r="B118" s="16"/>
      <c r="C118" s="17"/>
      <c r="D118" s="47" t="s">
        <v>26</v>
      </c>
      <c r="E118" s="19" t="s">
        <v>154</v>
      </c>
      <c r="F118" s="28">
        <v>50</v>
      </c>
      <c r="G118" s="28">
        <f>SUM(F118*1.68/30)</f>
        <v>2.8</v>
      </c>
      <c r="H118" s="28">
        <f>SUM(F118*0.33/30)</f>
        <v>0.55000000000000004</v>
      </c>
      <c r="I118" s="28">
        <f>SUM(F118*14.82/30)</f>
        <v>24.7</v>
      </c>
      <c r="J118" s="28">
        <f>SUM(F118*68.97/30)</f>
        <v>114.95</v>
      </c>
      <c r="K118" s="93" t="s">
        <v>27</v>
      </c>
      <c r="L118" s="116">
        <v>5.92</v>
      </c>
    </row>
    <row r="119" spans="1:16" ht="15.75">
      <c r="A119" s="25"/>
      <c r="B119" s="16"/>
      <c r="C119" s="17"/>
      <c r="D119" s="41"/>
      <c r="E119" s="26"/>
      <c r="F119" s="18"/>
      <c r="G119" s="18"/>
      <c r="H119" s="18"/>
      <c r="I119" s="18"/>
      <c r="J119" s="18"/>
      <c r="K119" s="93"/>
      <c r="L119" s="116"/>
    </row>
    <row r="120" spans="1:16" ht="15.75">
      <c r="A120" s="25"/>
      <c r="B120" s="16"/>
      <c r="C120" s="17"/>
      <c r="D120" s="41"/>
      <c r="E120" s="102"/>
      <c r="F120" s="107"/>
      <c r="G120" s="107"/>
      <c r="H120" s="107"/>
      <c r="I120" s="107"/>
      <c r="J120" s="107"/>
      <c r="K120" s="93"/>
      <c r="L120" s="116"/>
    </row>
    <row r="121" spans="1:16" ht="15.75">
      <c r="A121" s="29"/>
      <c r="B121" s="20"/>
      <c r="C121" s="21"/>
      <c r="D121" s="53" t="s">
        <v>29</v>
      </c>
      <c r="E121" s="103"/>
      <c r="F121" s="104">
        <f>SUM(F115:F120)</f>
        <v>550</v>
      </c>
      <c r="G121" s="118">
        <f>SUM(G115:G120)</f>
        <v>46.540000000000006</v>
      </c>
      <c r="H121" s="104">
        <f>SUM(H115:H120)</f>
        <v>31.73</v>
      </c>
      <c r="I121" s="104">
        <f>SUM(I115:I120)</f>
        <v>97.11</v>
      </c>
      <c r="J121" s="104">
        <f>SUM(J115:J120)</f>
        <v>860.55000000000007</v>
      </c>
      <c r="K121" s="132"/>
      <c r="L121" s="118">
        <f>SUM(L115:L120)</f>
        <v>147.82</v>
      </c>
    </row>
    <row r="122" spans="1:16" ht="15.75">
      <c r="A122" s="23">
        <f>A115</f>
        <v>2</v>
      </c>
      <c r="B122" s="23">
        <f>B115</f>
        <v>2</v>
      </c>
      <c r="C122" s="24" t="s">
        <v>30</v>
      </c>
      <c r="D122" s="47" t="s">
        <v>31</v>
      </c>
      <c r="E122" s="30" t="s">
        <v>71</v>
      </c>
      <c r="F122" s="28">
        <v>100</v>
      </c>
      <c r="G122" s="18">
        <f>F122*1.3/100</f>
        <v>1.3</v>
      </c>
      <c r="H122" s="18">
        <f>F122*8.9/100</f>
        <v>8.9</v>
      </c>
      <c r="I122" s="18">
        <f>F122*6.7/100</f>
        <v>6.7</v>
      </c>
      <c r="J122" s="18">
        <f>F122*112/100</f>
        <v>112</v>
      </c>
      <c r="K122" s="93">
        <v>72</v>
      </c>
      <c r="L122" s="116">
        <v>12.84</v>
      </c>
    </row>
    <row r="123" spans="1:16" ht="31.5">
      <c r="A123" s="25"/>
      <c r="B123" s="16"/>
      <c r="C123" s="17"/>
      <c r="D123" s="47" t="s">
        <v>32</v>
      </c>
      <c r="E123" s="89" t="s">
        <v>127</v>
      </c>
      <c r="F123" s="18">
        <v>250</v>
      </c>
      <c r="G123" s="28">
        <f>F123*2/200</f>
        <v>2.5</v>
      </c>
      <c r="H123" s="28">
        <f>F123*4.3/200</f>
        <v>5.375</v>
      </c>
      <c r="I123" s="28">
        <f>F123*13.3/200</f>
        <v>16.625</v>
      </c>
      <c r="J123" s="28">
        <f>F123*100/200</f>
        <v>125</v>
      </c>
      <c r="K123" s="93">
        <v>44502</v>
      </c>
      <c r="L123" s="116">
        <v>38.32</v>
      </c>
    </row>
    <row r="124" spans="1:16" ht="15.75">
      <c r="A124" s="25"/>
      <c r="B124" s="16"/>
      <c r="C124" s="17"/>
      <c r="D124" s="47" t="s">
        <v>33</v>
      </c>
      <c r="E124" s="79" t="s">
        <v>120</v>
      </c>
      <c r="F124" s="14">
        <v>100</v>
      </c>
      <c r="G124" s="18">
        <f>F124*11.7/90</f>
        <v>13</v>
      </c>
      <c r="H124" s="18">
        <f>F124*11.61/90</f>
        <v>12.9</v>
      </c>
      <c r="I124" s="18">
        <f>F124*5.76/90</f>
        <v>6.4</v>
      </c>
      <c r="J124" s="18">
        <f>F124*175/90</f>
        <v>194.44444444444446</v>
      </c>
      <c r="K124" s="81" t="s">
        <v>123</v>
      </c>
      <c r="L124" s="116">
        <v>81.66</v>
      </c>
    </row>
    <row r="125" spans="1:16" ht="15.75">
      <c r="A125" s="25"/>
      <c r="B125" s="16"/>
      <c r="C125" s="17"/>
      <c r="D125" s="47" t="s">
        <v>34</v>
      </c>
      <c r="E125" s="74" t="s">
        <v>35</v>
      </c>
      <c r="F125" s="14">
        <v>180</v>
      </c>
      <c r="G125" s="18">
        <f>F125*5.3/150</f>
        <v>6.36</v>
      </c>
      <c r="H125" s="18">
        <f>F125*3/150</f>
        <v>3.6</v>
      </c>
      <c r="I125" s="18">
        <f>F125*32.4/150</f>
        <v>38.880000000000003</v>
      </c>
      <c r="J125" s="18">
        <f>F125*178/150</f>
        <v>213.6</v>
      </c>
      <c r="K125" s="81" t="s">
        <v>74</v>
      </c>
      <c r="L125" s="116">
        <v>11.01</v>
      </c>
    </row>
    <row r="126" spans="1:16" ht="15.75">
      <c r="A126" s="25"/>
      <c r="B126" s="16"/>
      <c r="C126" s="17"/>
      <c r="D126" s="47" t="s">
        <v>95</v>
      </c>
      <c r="E126" s="75" t="s">
        <v>128</v>
      </c>
      <c r="F126" s="80">
        <v>200</v>
      </c>
      <c r="G126" s="80">
        <v>0.4</v>
      </c>
      <c r="H126" s="80">
        <v>0.4</v>
      </c>
      <c r="I126" s="80">
        <v>18.7</v>
      </c>
      <c r="J126" s="80">
        <v>80</v>
      </c>
      <c r="K126" s="81" t="s">
        <v>129</v>
      </c>
      <c r="L126" s="116">
        <v>13.4</v>
      </c>
    </row>
    <row r="127" spans="1:16" ht="15.75">
      <c r="A127" s="25"/>
      <c r="B127" s="16"/>
      <c r="C127" s="17"/>
      <c r="D127" s="47" t="s">
        <v>88</v>
      </c>
      <c r="E127" s="19" t="s">
        <v>38</v>
      </c>
      <c r="F127" s="18">
        <v>30</v>
      </c>
      <c r="G127" s="18">
        <f>SUM(F127*2.37/30)</f>
        <v>2.37</v>
      </c>
      <c r="H127" s="18">
        <f>SUM(F127*0.3/30)</f>
        <v>0.3</v>
      </c>
      <c r="I127" s="18">
        <f>SUM(F127*14.49/30)</f>
        <v>14.49</v>
      </c>
      <c r="J127" s="18">
        <f>SUM(F127*70.14/30)</f>
        <v>70.14</v>
      </c>
      <c r="K127" s="81" t="s">
        <v>27</v>
      </c>
      <c r="L127" s="116">
        <v>6.27</v>
      </c>
    </row>
    <row r="128" spans="1:16" ht="15.75">
      <c r="A128" s="25"/>
      <c r="B128" s="16"/>
      <c r="C128" s="17"/>
      <c r="D128" s="47" t="s">
        <v>39</v>
      </c>
      <c r="E128" s="74" t="s">
        <v>154</v>
      </c>
      <c r="F128" s="18">
        <v>30</v>
      </c>
      <c r="G128" s="18">
        <f>SUM(F128*1.68/30)</f>
        <v>1.68</v>
      </c>
      <c r="H128" s="18">
        <f>SUM(F128*0.33/30)</f>
        <v>0.33</v>
      </c>
      <c r="I128" s="18">
        <f>SUM(F128*14.82/30)</f>
        <v>14.82</v>
      </c>
      <c r="J128" s="18">
        <f>SUM(F128*68.97/30)</f>
        <v>68.97</v>
      </c>
      <c r="K128" s="81" t="s">
        <v>27</v>
      </c>
      <c r="L128" s="116">
        <v>3.55</v>
      </c>
    </row>
    <row r="129" spans="1:12" ht="15.75">
      <c r="A129" s="25"/>
      <c r="B129" s="16"/>
      <c r="C129" s="17"/>
      <c r="D129" s="41"/>
      <c r="E129" s="102"/>
      <c r="F129" s="107"/>
      <c r="G129" s="107"/>
      <c r="H129" s="107"/>
      <c r="I129" s="107"/>
      <c r="J129" s="107"/>
      <c r="K129" s="93"/>
      <c r="L129" s="116"/>
    </row>
    <row r="130" spans="1:12" ht="15.75">
      <c r="A130" s="25"/>
      <c r="B130" s="16"/>
      <c r="C130" s="17"/>
      <c r="D130" s="41"/>
      <c r="E130" s="102"/>
      <c r="F130" s="107"/>
      <c r="G130" s="107"/>
      <c r="H130" s="107"/>
      <c r="I130" s="107"/>
      <c r="J130" s="107"/>
      <c r="K130" s="93"/>
      <c r="L130" s="116"/>
    </row>
    <row r="131" spans="1:12" ht="15.75">
      <c r="A131" s="64"/>
      <c r="B131" s="51"/>
      <c r="C131" s="52"/>
      <c r="D131" s="53" t="s">
        <v>29</v>
      </c>
      <c r="E131" s="103"/>
      <c r="F131" s="104">
        <f>SUM(F122:F130)</f>
        <v>890</v>
      </c>
      <c r="G131" s="104">
        <f t="shared" ref="G131:J131" si="34">SUM(G122:G130)</f>
        <v>27.61</v>
      </c>
      <c r="H131" s="104">
        <f t="shared" si="34"/>
        <v>31.805</v>
      </c>
      <c r="I131" s="104">
        <f t="shared" si="34"/>
        <v>116.61500000000001</v>
      </c>
      <c r="J131" s="104">
        <f t="shared" si="34"/>
        <v>864.15444444444449</v>
      </c>
      <c r="K131" s="132"/>
      <c r="L131" s="118">
        <f t="shared" ref="L131" si="35">SUM(L122:L130)</f>
        <v>167.05</v>
      </c>
    </row>
    <row r="132" spans="1:12" ht="16.5" thickBot="1">
      <c r="A132" s="65">
        <f>A115</f>
        <v>2</v>
      </c>
      <c r="B132" s="65">
        <f>B115</f>
        <v>2</v>
      </c>
      <c r="C132" s="171" t="s">
        <v>40</v>
      </c>
      <c r="D132" s="172"/>
      <c r="E132" s="105"/>
      <c r="F132" s="106">
        <f>F121+F131</f>
        <v>1440</v>
      </c>
      <c r="G132" s="106">
        <f t="shared" ref="G132" si="36">G121+G131</f>
        <v>74.150000000000006</v>
      </c>
      <c r="H132" s="106">
        <f t="shared" ref="H132" si="37">H121+H131</f>
        <v>63.534999999999997</v>
      </c>
      <c r="I132" s="106">
        <f t="shared" ref="I132" si="38">I121+I131</f>
        <v>213.72500000000002</v>
      </c>
      <c r="J132" s="106">
        <f t="shared" ref="J132:L132" si="39">J121+J131</f>
        <v>1724.7044444444446</v>
      </c>
      <c r="K132" s="140"/>
      <c r="L132" s="124">
        <f t="shared" si="39"/>
        <v>314.87</v>
      </c>
    </row>
    <row r="133" spans="1:12" ht="15.75">
      <c r="A133" s="11">
        <v>2</v>
      </c>
      <c r="B133" s="12">
        <v>3</v>
      </c>
      <c r="C133" s="13" t="s">
        <v>22</v>
      </c>
      <c r="D133" s="46" t="s">
        <v>33</v>
      </c>
      <c r="E133" s="30" t="s">
        <v>73</v>
      </c>
      <c r="F133" s="18">
        <v>100</v>
      </c>
      <c r="G133" s="18">
        <f>F133*10.44/90</f>
        <v>11.6</v>
      </c>
      <c r="H133" s="18">
        <f>F133*14.52/120</f>
        <v>12.1</v>
      </c>
      <c r="I133" s="18">
        <f>F133*13.44/120</f>
        <v>11.2</v>
      </c>
      <c r="J133" s="18">
        <f>F133*240/120</f>
        <v>200</v>
      </c>
      <c r="K133" s="81">
        <v>44236</v>
      </c>
      <c r="L133" s="114">
        <v>79.12</v>
      </c>
    </row>
    <row r="134" spans="1:12" ht="15.75">
      <c r="A134" s="15"/>
      <c r="B134" s="16"/>
      <c r="C134" s="17"/>
      <c r="D134" s="41" t="s">
        <v>34</v>
      </c>
      <c r="E134" s="75" t="s">
        <v>130</v>
      </c>
      <c r="F134" s="76">
        <v>180</v>
      </c>
      <c r="G134" s="76">
        <f>F134*8.6/150</f>
        <v>10.32</v>
      </c>
      <c r="H134" s="76">
        <f>F134*6.8/150</f>
        <v>8.16</v>
      </c>
      <c r="I134" s="76">
        <f>F134*37.8/150</f>
        <v>45.359999999999992</v>
      </c>
      <c r="J134" s="76">
        <f>F134*266/150</f>
        <v>319.2</v>
      </c>
      <c r="K134" s="93" t="s">
        <v>94</v>
      </c>
      <c r="L134" s="116">
        <v>15.43</v>
      </c>
    </row>
    <row r="135" spans="1:12" ht="15.75">
      <c r="A135" s="15"/>
      <c r="B135" s="16"/>
      <c r="C135" s="17"/>
      <c r="D135" s="47" t="s">
        <v>24</v>
      </c>
      <c r="E135" s="75" t="s">
        <v>60</v>
      </c>
      <c r="F135" s="76">
        <v>200</v>
      </c>
      <c r="G135" s="76">
        <v>0.2</v>
      </c>
      <c r="H135" s="76">
        <v>0.1</v>
      </c>
      <c r="I135" s="76">
        <v>13.1</v>
      </c>
      <c r="J135" s="76">
        <v>54.1</v>
      </c>
      <c r="K135" s="93" t="s">
        <v>61</v>
      </c>
      <c r="L135" s="116">
        <v>7.66</v>
      </c>
    </row>
    <row r="136" spans="1:12" ht="15.75" customHeight="1">
      <c r="A136" s="15"/>
      <c r="B136" s="16"/>
      <c r="C136" s="17"/>
      <c r="D136" s="47" t="s">
        <v>26</v>
      </c>
      <c r="E136" s="19" t="s">
        <v>38</v>
      </c>
      <c r="F136" s="18">
        <v>40</v>
      </c>
      <c r="G136" s="18">
        <f>SUM(F136*2.37/30)</f>
        <v>3.1600000000000006</v>
      </c>
      <c r="H136" s="18">
        <f>SUM(F136*0.3/30)</f>
        <v>0.4</v>
      </c>
      <c r="I136" s="18">
        <f>SUM(F136*14.49/30)</f>
        <v>19.32</v>
      </c>
      <c r="J136" s="18">
        <f>SUM(F136*70.14/30)</f>
        <v>93.52</v>
      </c>
      <c r="K136" s="81" t="s">
        <v>27</v>
      </c>
      <c r="L136" s="116">
        <v>6.4</v>
      </c>
    </row>
    <row r="137" spans="1:12" ht="15.75">
      <c r="A137" s="15"/>
      <c r="B137" s="16"/>
      <c r="C137" s="17"/>
      <c r="D137" s="47" t="s">
        <v>39</v>
      </c>
      <c r="E137" s="74" t="s">
        <v>154</v>
      </c>
      <c r="F137" s="18">
        <v>30</v>
      </c>
      <c r="G137" s="18">
        <f>SUM(F137*1.68/30)</f>
        <v>1.68</v>
      </c>
      <c r="H137" s="18">
        <f>SUM(F137*0.33/30)</f>
        <v>0.33</v>
      </c>
      <c r="I137" s="18">
        <f>SUM(F137*14.82/30)</f>
        <v>14.82</v>
      </c>
      <c r="J137" s="18">
        <f>SUM(F137*68.97/30)</f>
        <v>68.97</v>
      </c>
      <c r="K137" s="81" t="s">
        <v>41</v>
      </c>
      <c r="L137" s="116">
        <v>6.04</v>
      </c>
    </row>
    <row r="138" spans="1:12" ht="15.75">
      <c r="A138" s="15"/>
      <c r="B138" s="16"/>
      <c r="C138" s="17"/>
      <c r="D138" s="41"/>
      <c r="E138" s="27" t="s">
        <v>153</v>
      </c>
      <c r="F138" s="28">
        <v>20</v>
      </c>
      <c r="G138" s="28">
        <f>F138*3/100</f>
        <v>0.6</v>
      </c>
      <c r="H138" s="28">
        <f>F138*4.1/100</f>
        <v>0.82</v>
      </c>
      <c r="I138" s="28">
        <f>F138*6.4/100</f>
        <v>1.28</v>
      </c>
      <c r="J138" s="28">
        <f>F138*75/100</f>
        <v>15</v>
      </c>
      <c r="K138" s="93" t="s">
        <v>27</v>
      </c>
      <c r="L138" s="116">
        <v>33.17</v>
      </c>
    </row>
    <row r="139" spans="1:12" ht="15.75">
      <c r="A139" s="15"/>
      <c r="B139" s="16"/>
      <c r="C139" s="17"/>
      <c r="D139" s="41"/>
      <c r="E139" s="102"/>
      <c r="F139" s="107"/>
      <c r="G139" s="107"/>
      <c r="H139" s="107"/>
      <c r="I139" s="107"/>
      <c r="J139" s="107"/>
      <c r="K139" s="93"/>
      <c r="L139" s="116"/>
    </row>
    <row r="140" spans="1:12" ht="16.5" thickBot="1">
      <c r="A140" s="58"/>
      <c r="B140" s="59"/>
      <c r="C140" s="60"/>
      <c r="D140" s="61" t="s">
        <v>29</v>
      </c>
      <c r="E140" s="108"/>
      <c r="F140" s="125">
        <f>SUM(F133:F139)</f>
        <v>570</v>
      </c>
      <c r="G140" s="125">
        <f t="shared" ref="G140:J140" si="40">SUM(G133:G139)</f>
        <v>27.560000000000002</v>
      </c>
      <c r="H140" s="125">
        <f>SUM(H133:H139)</f>
        <v>21.909999999999997</v>
      </c>
      <c r="I140" s="125">
        <f t="shared" si="40"/>
        <v>105.07999999999998</v>
      </c>
      <c r="J140" s="125">
        <f t="shared" si="40"/>
        <v>750.79000000000008</v>
      </c>
      <c r="K140" s="134"/>
      <c r="L140" s="125">
        <f>SUM(L133:L139)</f>
        <v>147.82000000000002</v>
      </c>
    </row>
    <row r="141" spans="1:12" ht="16.5" thickBot="1">
      <c r="A141" s="22">
        <f>A133</f>
        <v>2</v>
      </c>
      <c r="B141" s="23">
        <f>B133</f>
        <v>3</v>
      </c>
      <c r="C141" s="24" t="s">
        <v>30</v>
      </c>
      <c r="D141" s="47" t="s">
        <v>31</v>
      </c>
      <c r="E141" s="77" t="s">
        <v>131</v>
      </c>
      <c r="F141" s="152">
        <v>100</v>
      </c>
      <c r="G141" s="150">
        <f>F141*3.1/60</f>
        <v>5.166666666666667</v>
      </c>
      <c r="H141" s="150">
        <f>F141*9.4/60</f>
        <v>15.666666666666666</v>
      </c>
      <c r="I141" s="150">
        <f>F141*8.1/60</f>
        <v>13.5</v>
      </c>
      <c r="J141" s="150">
        <f>F141*128.76/60</f>
        <v>214.6</v>
      </c>
      <c r="K141" s="93" t="s">
        <v>133</v>
      </c>
      <c r="L141" s="116">
        <v>13.26</v>
      </c>
    </row>
    <row r="142" spans="1:12" ht="36" customHeight="1" thickBot="1">
      <c r="A142" s="15"/>
      <c r="B142" s="16"/>
      <c r="C142" s="17"/>
      <c r="D142" s="47" t="s">
        <v>32</v>
      </c>
      <c r="E142" s="90" t="s">
        <v>132</v>
      </c>
      <c r="F142" s="80">
        <v>250</v>
      </c>
      <c r="G142" s="150">
        <f>F142*3.8/250</f>
        <v>3.8</v>
      </c>
      <c r="H142" s="150">
        <f>F142*5.8/250</f>
        <v>5.8</v>
      </c>
      <c r="I142" s="150">
        <f>F142*8.6/250</f>
        <v>8.6</v>
      </c>
      <c r="J142" s="150">
        <f>F142*101.8/250</f>
        <v>101.8</v>
      </c>
      <c r="K142" s="81">
        <v>44379</v>
      </c>
      <c r="L142" s="116">
        <v>32.69</v>
      </c>
    </row>
    <row r="143" spans="1:12" ht="16.5" thickBot="1">
      <c r="A143" s="15"/>
      <c r="B143" s="16"/>
      <c r="C143" s="17"/>
      <c r="D143" s="47" t="s">
        <v>33</v>
      </c>
      <c r="E143" s="73" t="s">
        <v>72</v>
      </c>
      <c r="F143" s="76">
        <v>100</v>
      </c>
      <c r="G143" s="150">
        <f>F143*10.07/100</f>
        <v>10.07</v>
      </c>
      <c r="H143" s="150">
        <f>F143*7.08/100</f>
        <v>7.08</v>
      </c>
      <c r="I143" s="150">
        <f>F143*9.05/100</f>
        <v>9.0500000000000007</v>
      </c>
      <c r="J143" s="150">
        <f>F143*140.77/100</f>
        <v>140.77000000000001</v>
      </c>
      <c r="K143" s="87" t="s">
        <v>134</v>
      </c>
      <c r="L143" s="116">
        <v>82.08</v>
      </c>
    </row>
    <row r="144" spans="1:12" ht="16.5" thickBot="1">
      <c r="A144" s="15"/>
      <c r="B144" s="16"/>
      <c r="C144" s="17"/>
      <c r="D144" s="47" t="s">
        <v>34</v>
      </c>
      <c r="E144" s="73" t="s">
        <v>56</v>
      </c>
      <c r="F144" s="18">
        <v>180</v>
      </c>
      <c r="G144" s="151">
        <f>F144*3.17/150</f>
        <v>3.8040000000000003</v>
      </c>
      <c r="H144" s="151">
        <f>F144*3.6/150</f>
        <v>4.32</v>
      </c>
      <c r="I144" s="151">
        <f>F144*20.4/150</f>
        <v>24.479999999999997</v>
      </c>
      <c r="J144" s="150">
        <f>F144*128/150</f>
        <v>153.6</v>
      </c>
      <c r="K144" s="93" t="s">
        <v>135</v>
      </c>
      <c r="L144" s="116">
        <v>23.14</v>
      </c>
    </row>
    <row r="145" spans="1:14" ht="16.5" thickBot="1">
      <c r="A145" s="15"/>
      <c r="B145" s="16"/>
      <c r="C145" s="17"/>
      <c r="D145" s="47" t="s">
        <v>95</v>
      </c>
      <c r="E145" s="73" t="s">
        <v>49</v>
      </c>
      <c r="F145" s="76">
        <v>200</v>
      </c>
      <c r="G145" s="151">
        <v>0</v>
      </c>
      <c r="H145" s="151">
        <v>0</v>
      </c>
      <c r="I145" s="151">
        <v>27.8</v>
      </c>
      <c r="J145" s="151">
        <v>111</v>
      </c>
      <c r="K145" s="93" t="s">
        <v>136</v>
      </c>
      <c r="L145" s="116">
        <v>5.38</v>
      </c>
    </row>
    <row r="146" spans="1:14" ht="16.5" thickBot="1">
      <c r="A146" s="15"/>
      <c r="B146" s="16"/>
      <c r="C146" s="17"/>
      <c r="D146" s="47" t="s">
        <v>37</v>
      </c>
      <c r="E146" s="19" t="s">
        <v>38</v>
      </c>
      <c r="F146" s="18">
        <v>40</v>
      </c>
      <c r="G146" s="151">
        <f>F146*2.37/30</f>
        <v>3.1600000000000006</v>
      </c>
      <c r="H146" s="151">
        <f>F146*0.3/30</f>
        <v>0.4</v>
      </c>
      <c r="I146" s="151">
        <f>F146*14.49/30</f>
        <v>19.32</v>
      </c>
      <c r="J146" s="151">
        <f>F146*70.14/30</f>
        <v>93.52</v>
      </c>
      <c r="K146" s="81" t="s">
        <v>27</v>
      </c>
      <c r="L146" s="116">
        <v>5.76</v>
      </c>
    </row>
    <row r="147" spans="1:14" ht="16.5" thickBot="1">
      <c r="A147" s="15"/>
      <c r="B147" s="16"/>
      <c r="C147" s="17"/>
      <c r="D147" s="47" t="s">
        <v>39</v>
      </c>
      <c r="E147" s="74" t="s">
        <v>154</v>
      </c>
      <c r="F147" s="18">
        <v>30</v>
      </c>
      <c r="G147" s="151">
        <f>F147*1.68/30</f>
        <v>1.68</v>
      </c>
      <c r="H147" s="151">
        <f>F147*0.33/30</f>
        <v>0.33</v>
      </c>
      <c r="I147" s="151">
        <f>F147*14.82/30</f>
        <v>14.82</v>
      </c>
      <c r="J147" s="151">
        <f>F147*68.97/30</f>
        <v>68.97</v>
      </c>
      <c r="K147" s="81" t="s">
        <v>41</v>
      </c>
      <c r="L147" s="116">
        <v>4.74</v>
      </c>
    </row>
    <row r="148" spans="1:14" ht="15.75">
      <c r="A148" s="15"/>
      <c r="B148" s="16"/>
      <c r="C148" s="17"/>
      <c r="D148" s="41"/>
      <c r="E148" s="102"/>
      <c r="F148" s="107"/>
      <c r="G148" s="107"/>
      <c r="H148" s="107"/>
      <c r="I148" s="107"/>
      <c r="J148" s="107"/>
      <c r="K148" s="93"/>
      <c r="L148" s="116"/>
    </row>
    <row r="149" spans="1:14" ht="15.75">
      <c r="A149" s="15"/>
      <c r="B149" s="16"/>
      <c r="C149" s="17"/>
      <c r="D149" s="41"/>
      <c r="E149" s="102"/>
      <c r="F149" s="107"/>
      <c r="G149" s="107"/>
      <c r="H149" s="107"/>
      <c r="I149" s="107"/>
      <c r="J149" s="107"/>
      <c r="K149" s="93"/>
      <c r="L149" s="116"/>
    </row>
    <row r="150" spans="1:14" ht="15.75">
      <c r="A150" s="58"/>
      <c r="B150" s="59"/>
      <c r="C150" s="60"/>
      <c r="D150" s="61" t="s">
        <v>29</v>
      </c>
      <c r="E150" s="108"/>
      <c r="F150" s="109">
        <f>SUM(F141:F149)</f>
        <v>900</v>
      </c>
      <c r="G150" s="109">
        <f t="shared" ref="G150:J150" si="41">SUM(G141:G149)</f>
        <v>27.680666666666671</v>
      </c>
      <c r="H150" s="109">
        <f t="shared" si="41"/>
        <v>33.596666666666664</v>
      </c>
      <c r="I150" s="109">
        <f t="shared" si="41"/>
        <v>117.57</v>
      </c>
      <c r="J150" s="109">
        <f t="shared" si="41"/>
        <v>884.26</v>
      </c>
      <c r="K150" s="134"/>
      <c r="L150" s="125">
        <f>SUM(L141:L149)</f>
        <v>167.05</v>
      </c>
    </row>
    <row r="151" spans="1:14" ht="16.5" thickBot="1">
      <c r="A151" s="62">
        <f>A133</f>
        <v>2</v>
      </c>
      <c r="B151" s="63">
        <f>B133</f>
        <v>3</v>
      </c>
      <c r="C151" s="173" t="s">
        <v>40</v>
      </c>
      <c r="D151" s="174"/>
      <c r="E151" s="110"/>
      <c r="F151" s="111">
        <f>F140+F150</f>
        <v>1470</v>
      </c>
      <c r="G151" s="111">
        <f t="shared" ref="G151" si="42">G140+G150</f>
        <v>55.240666666666669</v>
      </c>
      <c r="H151" s="111">
        <f t="shared" ref="H151" si="43">H140+H150</f>
        <v>55.506666666666661</v>
      </c>
      <c r="I151" s="111">
        <f t="shared" ref="I151" si="44">I140+I150</f>
        <v>222.64999999999998</v>
      </c>
      <c r="J151" s="111">
        <f t="shared" ref="J151" si="45">J140+J150</f>
        <v>1635.0500000000002</v>
      </c>
      <c r="K151" s="142"/>
      <c r="L151" s="126">
        <f>L140+L150</f>
        <v>314.87</v>
      </c>
    </row>
    <row r="152" spans="1:14" ht="19.5" thickBot="1">
      <c r="A152" s="15"/>
      <c r="B152" s="16"/>
      <c r="C152" s="17"/>
      <c r="D152" s="47" t="s">
        <v>34</v>
      </c>
      <c r="E152" s="73" t="s">
        <v>155</v>
      </c>
      <c r="F152" s="28">
        <v>180</v>
      </c>
      <c r="G152" s="150">
        <f>F152*3.25/150</f>
        <v>3.9</v>
      </c>
      <c r="H152" s="150">
        <f>F152*2.85/150</f>
        <v>3.42</v>
      </c>
      <c r="I152" s="150">
        <f>F152*11.9/150</f>
        <v>14.28</v>
      </c>
      <c r="J152" s="150">
        <f>F152*87/150</f>
        <v>104.4</v>
      </c>
      <c r="K152" s="81">
        <v>44533</v>
      </c>
      <c r="L152" s="158">
        <v>20.16</v>
      </c>
      <c r="M152" s="159"/>
      <c r="N152" s="33"/>
    </row>
    <row r="153" spans="1:14" ht="19.5" thickBot="1">
      <c r="A153" s="15">
        <v>2</v>
      </c>
      <c r="B153" s="16">
        <v>4</v>
      </c>
      <c r="C153" s="17" t="s">
        <v>22</v>
      </c>
      <c r="D153" s="47" t="s">
        <v>33</v>
      </c>
      <c r="E153" s="75" t="s">
        <v>96</v>
      </c>
      <c r="F153" s="18">
        <v>100</v>
      </c>
      <c r="G153" s="151">
        <f>F153*11.6/90</f>
        <v>12.888888888888889</v>
      </c>
      <c r="H153" s="151">
        <f>F153*12.1/90</f>
        <v>13.444444444444445</v>
      </c>
      <c r="I153" s="151">
        <f>F153*13.1/90</f>
        <v>14.555555555555555</v>
      </c>
      <c r="J153" s="151">
        <f>F153*207.7/90</f>
        <v>230.77777777777777</v>
      </c>
      <c r="K153" s="101" t="s">
        <v>148</v>
      </c>
      <c r="L153" s="158">
        <v>90.42</v>
      </c>
      <c r="M153" s="161"/>
      <c r="N153" s="33"/>
    </row>
    <row r="154" spans="1:14" ht="19.5" thickBot="1">
      <c r="A154" s="15"/>
      <c r="B154" s="16"/>
      <c r="C154" s="17"/>
      <c r="D154" s="47" t="s">
        <v>24</v>
      </c>
      <c r="E154" s="73" t="s">
        <v>137</v>
      </c>
      <c r="F154" s="76">
        <v>200</v>
      </c>
      <c r="G154" s="151">
        <v>0.3</v>
      </c>
      <c r="H154" s="151">
        <v>0.1</v>
      </c>
      <c r="I154" s="151">
        <v>18.899999999999999</v>
      </c>
      <c r="J154" s="151">
        <v>77.7</v>
      </c>
      <c r="K154" s="93">
        <v>44387</v>
      </c>
      <c r="L154" s="158">
        <v>8.73</v>
      </c>
      <c r="M154" s="159"/>
      <c r="N154" s="33"/>
    </row>
    <row r="155" spans="1:14" ht="19.5" thickBot="1">
      <c r="A155" s="15"/>
      <c r="B155" s="16"/>
      <c r="C155" s="17"/>
      <c r="D155" s="162">
        <v>44209</v>
      </c>
      <c r="E155" s="75" t="s">
        <v>68</v>
      </c>
      <c r="F155" s="88">
        <v>50</v>
      </c>
      <c r="G155" s="150">
        <f>F155*3.2/50</f>
        <v>3.2</v>
      </c>
      <c r="H155" s="150">
        <f>F155*7.7/50</f>
        <v>7.7</v>
      </c>
      <c r="I155" s="150">
        <f>F155*19.5/50</f>
        <v>19.5</v>
      </c>
      <c r="J155" s="150">
        <f>F155*160/50</f>
        <v>160</v>
      </c>
      <c r="K155" s="93">
        <v>44209</v>
      </c>
      <c r="L155" s="158">
        <v>24.96</v>
      </c>
      <c r="M155" s="159"/>
      <c r="N155" s="33"/>
    </row>
    <row r="156" spans="1:14" ht="19.5" thickBot="1">
      <c r="A156" s="15"/>
      <c r="B156" s="16"/>
      <c r="C156" s="17"/>
      <c r="D156" s="47" t="s">
        <v>39</v>
      </c>
      <c r="E156" s="19" t="s">
        <v>154</v>
      </c>
      <c r="F156" s="18">
        <v>30</v>
      </c>
      <c r="G156" s="151">
        <f>F156*1.68/30</f>
        <v>1.68</v>
      </c>
      <c r="H156" s="151">
        <f>F156*0.33/30</f>
        <v>0.33</v>
      </c>
      <c r="I156" s="151">
        <f>F156*14.82/30</f>
        <v>14.82</v>
      </c>
      <c r="J156" s="151">
        <f>F156*68.97/30</f>
        <v>68.97</v>
      </c>
      <c r="K156" s="93" t="s">
        <v>41</v>
      </c>
      <c r="L156" s="158">
        <v>3.55</v>
      </c>
      <c r="M156" s="159"/>
      <c r="N156" s="33"/>
    </row>
    <row r="157" spans="1:14" ht="15.75">
      <c r="A157" s="15"/>
      <c r="B157" s="16"/>
      <c r="C157" s="17"/>
      <c r="D157" s="47"/>
      <c r="E157" s="19"/>
      <c r="F157" s="18"/>
      <c r="G157" s="18"/>
      <c r="H157" s="18"/>
      <c r="I157" s="18"/>
      <c r="J157" s="18"/>
      <c r="K157" s="93"/>
      <c r="L157" s="158"/>
      <c r="M157" s="33"/>
      <c r="N157" s="33"/>
    </row>
    <row r="158" spans="1:14" ht="16.5" thickBot="1">
      <c r="A158" s="58"/>
      <c r="B158" s="59"/>
      <c r="C158" s="60"/>
      <c r="D158" s="61" t="s">
        <v>29</v>
      </c>
      <c r="E158" s="135"/>
      <c r="F158" s="125">
        <f>SUM(F152:F157)</f>
        <v>560</v>
      </c>
      <c r="G158" s="125">
        <f>SUM(G152:G157)</f>
        <v>21.968888888888888</v>
      </c>
      <c r="H158" s="125">
        <f>SUM(H152:H157)</f>
        <v>24.994444444444444</v>
      </c>
      <c r="I158" s="125">
        <f>SUM(I152:I157)</f>
        <v>82.055555555555543</v>
      </c>
      <c r="J158" s="125">
        <f>SUM(J152:J157)</f>
        <v>641.84777777777776</v>
      </c>
      <c r="K158" s="136"/>
      <c r="L158" s="157">
        <f>SUM(L152:L157)</f>
        <v>147.82000000000002</v>
      </c>
      <c r="M158" s="33"/>
      <c r="N158" s="33"/>
    </row>
    <row r="159" spans="1:14" ht="32.25" thickBot="1">
      <c r="A159" s="22">
        <v>2</v>
      </c>
      <c r="B159" s="23">
        <v>4</v>
      </c>
      <c r="C159" s="24" t="s">
        <v>30</v>
      </c>
      <c r="D159" s="47" t="s">
        <v>31</v>
      </c>
      <c r="E159" s="91" t="s">
        <v>138</v>
      </c>
      <c r="F159" s="92">
        <v>100</v>
      </c>
      <c r="G159" s="153">
        <f>F159*0.7/60</f>
        <v>1.1666666666666667</v>
      </c>
      <c r="H159" s="153">
        <f>F159*3.6/60</f>
        <v>6</v>
      </c>
      <c r="I159" s="153">
        <f>F159*9.7/60</f>
        <v>16.166666666666664</v>
      </c>
      <c r="J159" s="153">
        <f>F159*74/60</f>
        <v>123.33333333333333</v>
      </c>
      <c r="K159" s="78" t="s">
        <v>141</v>
      </c>
      <c r="L159" s="158">
        <v>43.91</v>
      </c>
      <c r="M159" s="33"/>
      <c r="N159" s="33"/>
    </row>
    <row r="160" spans="1:14" ht="32.25" thickBot="1">
      <c r="A160" s="15"/>
      <c r="B160" s="16"/>
      <c r="C160" s="17"/>
      <c r="D160" s="47" t="s">
        <v>32</v>
      </c>
      <c r="E160" s="90" t="s">
        <v>97</v>
      </c>
      <c r="F160" s="80">
        <v>250</v>
      </c>
      <c r="G160" s="150">
        <f>F160*3.6/200</f>
        <v>4.5</v>
      </c>
      <c r="H160" s="150">
        <f>F160*4.1/200</f>
        <v>5.125</v>
      </c>
      <c r="I160" s="150">
        <f>F160*24.7/200</f>
        <v>30.875</v>
      </c>
      <c r="J160" s="150">
        <f>F160*151/200</f>
        <v>188.75</v>
      </c>
      <c r="K160" s="78" t="s">
        <v>65</v>
      </c>
      <c r="L160" s="158">
        <v>22.11</v>
      </c>
      <c r="M160" s="33"/>
      <c r="N160" s="33"/>
    </row>
    <row r="161" spans="1:14" ht="16.5" thickBot="1">
      <c r="A161" s="15"/>
      <c r="B161" s="16"/>
      <c r="C161" s="17"/>
      <c r="D161" s="47" t="s">
        <v>33</v>
      </c>
      <c r="E161" s="73" t="s">
        <v>45</v>
      </c>
      <c r="F161" s="18">
        <v>100</v>
      </c>
      <c r="G161" s="151">
        <f>F161*17.19/90</f>
        <v>19.100000000000001</v>
      </c>
      <c r="H161" s="151">
        <f>F161*14.31/90</f>
        <v>15.9</v>
      </c>
      <c r="I161" s="151">
        <f>F161*0.18/90</f>
        <v>0.2</v>
      </c>
      <c r="J161" s="151">
        <f>F161*198/90</f>
        <v>220</v>
      </c>
      <c r="K161" s="78">
        <v>4232</v>
      </c>
      <c r="L161" s="158">
        <v>66.77</v>
      </c>
      <c r="M161" s="33"/>
      <c r="N161" s="33"/>
    </row>
    <row r="162" spans="1:14" ht="16.5" thickBot="1">
      <c r="A162" s="15"/>
      <c r="B162" s="16"/>
      <c r="C162" s="17"/>
      <c r="D162" s="47" t="s">
        <v>34</v>
      </c>
      <c r="E162" s="75" t="s">
        <v>139</v>
      </c>
      <c r="F162" s="76">
        <v>180</v>
      </c>
      <c r="G162" s="151">
        <f>F162*3.67/150</f>
        <v>4.4039999999999999</v>
      </c>
      <c r="H162" s="151">
        <f>F162*5.42/150</f>
        <v>6.5040000000000004</v>
      </c>
      <c r="I162" s="151">
        <f>F162*36.67/150</f>
        <v>44.004000000000005</v>
      </c>
      <c r="J162" s="151">
        <f>F162*210.11/150</f>
        <v>252.13200000000003</v>
      </c>
      <c r="K162" s="78" t="s">
        <v>142</v>
      </c>
      <c r="L162" s="158">
        <v>12.58</v>
      </c>
      <c r="M162" s="33"/>
      <c r="N162" s="33"/>
    </row>
    <row r="163" spans="1:14" ht="16.5" thickBot="1">
      <c r="A163" s="15"/>
      <c r="B163" s="16"/>
      <c r="C163" s="17"/>
      <c r="D163" s="47" t="s">
        <v>95</v>
      </c>
      <c r="E163" s="73" t="s">
        <v>140</v>
      </c>
      <c r="F163" s="76">
        <v>200</v>
      </c>
      <c r="G163" s="151">
        <v>0.7</v>
      </c>
      <c r="H163" s="151">
        <v>0</v>
      </c>
      <c r="I163" s="151">
        <v>21.1</v>
      </c>
      <c r="J163" s="151">
        <v>88</v>
      </c>
      <c r="K163" s="78" t="s">
        <v>143</v>
      </c>
      <c r="L163" s="158">
        <v>12.49</v>
      </c>
      <c r="M163" s="33"/>
      <c r="N163" s="33"/>
    </row>
    <row r="164" spans="1:14" ht="16.5" thickBot="1">
      <c r="A164" s="15"/>
      <c r="B164" s="16"/>
      <c r="C164" s="17"/>
      <c r="D164" s="47" t="s">
        <v>37</v>
      </c>
      <c r="E164" s="19" t="s">
        <v>38</v>
      </c>
      <c r="F164" s="18">
        <v>30</v>
      </c>
      <c r="G164" s="151">
        <f>F164*2.37/30</f>
        <v>2.37</v>
      </c>
      <c r="H164" s="151">
        <f>F164*0.3/30</f>
        <v>0.3</v>
      </c>
      <c r="I164" s="151">
        <f>F164*14.49/30</f>
        <v>14.49</v>
      </c>
      <c r="J164" s="151">
        <f>F164*70.14/30</f>
        <v>70.14</v>
      </c>
      <c r="K164" s="78" t="s">
        <v>27</v>
      </c>
      <c r="L164" s="158">
        <v>4.22</v>
      </c>
      <c r="M164" s="33"/>
      <c r="N164" s="33"/>
    </row>
    <row r="165" spans="1:14" ht="16.5" thickBot="1">
      <c r="A165" s="15"/>
      <c r="B165" s="16"/>
      <c r="C165" s="17"/>
      <c r="D165" s="47" t="s">
        <v>39</v>
      </c>
      <c r="E165" s="74" t="s">
        <v>154</v>
      </c>
      <c r="F165" s="18">
        <v>30</v>
      </c>
      <c r="G165" s="151">
        <f>F165*1.68/30</f>
        <v>1.68</v>
      </c>
      <c r="H165" s="151">
        <f>F165*0.33/30</f>
        <v>0.33</v>
      </c>
      <c r="I165" s="151">
        <f>F165*14.82/30</f>
        <v>14.82</v>
      </c>
      <c r="J165" s="151">
        <f>F165*68.97/30</f>
        <v>68.97</v>
      </c>
      <c r="K165" s="78" t="s">
        <v>41</v>
      </c>
      <c r="L165" s="158">
        <v>4.97</v>
      </c>
      <c r="M165" s="33"/>
      <c r="N165" s="33"/>
    </row>
    <row r="166" spans="1:14" ht="15.75">
      <c r="A166" s="15"/>
      <c r="B166" s="16"/>
      <c r="C166" s="17"/>
      <c r="D166" s="41"/>
      <c r="E166" s="83"/>
      <c r="F166" s="85"/>
      <c r="G166" s="85"/>
      <c r="H166" s="85"/>
      <c r="I166" s="85"/>
      <c r="J166" s="85"/>
      <c r="K166" s="93"/>
      <c r="L166" s="158"/>
      <c r="M166" s="33"/>
      <c r="N166" s="33"/>
    </row>
    <row r="167" spans="1:14" ht="15.75">
      <c r="A167" s="15"/>
      <c r="B167" s="16"/>
      <c r="C167" s="17"/>
      <c r="D167" s="41"/>
      <c r="E167" s="83"/>
      <c r="F167" s="85"/>
      <c r="G167" s="85"/>
      <c r="H167" s="85"/>
      <c r="I167" s="85"/>
      <c r="J167" s="85"/>
      <c r="K167" s="93"/>
      <c r="L167" s="158"/>
      <c r="M167" s="33"/>
      <c r="N167" s="33"/>
    </row>
    <row r="168" spans="1:14" ht="15.75">
      <c r="A168" s="58"/>
      <c r="B168" s="59"/>
      <c r="C168" s="60"/>
      <c r="D168" s="61" t="s">
        <v>29</v>
      </c>
      <c r="E168" s="108"/>
      <c r="F168" s="125">
        <f>SUM(F159:F167)</f>
        <v>890</v>
      </c>
      <c r="G168" s="125">
        <f t="shared" ref="G168:J168" si="46">SUM(G159:G167)</f>
        <v>33.920666666666669</v>
      </c>
      <c r="H168" s="125">
        <f t="shared" si="46"/>
        <v>34.158999999999992</v>
      </c>
      <c r="I168" s="125">
        <f t="shared" si="46"/>
        <v>141.65566666666666</v>
      </c>
      <c r="J168" s="125">
        <f t="shared" si="46"/>
        <v>1011.3253333333333</v>
      </c>
      <c r="K168" s="134"/>
      <c r="L168" s="157">
        <f>SUM(L159:L167)</f>
        <v>167.05</v>
      </c>
      <c r="M168" s="33"/>
      <c r="N168" s="33"/>
    </row>
    <row r="169" spans="1:14" ht="16.5" thickBot="1">
      <c r="A169" s="62">
        <v>2</v>
      </c>
      <c r="B169" s="63">
        <v>4</v>
      </c>
      <c r="C169" s="173" t="s">
        <v>40</v>
      </c>
      <c r="D169" s="174"/>
      <c r="E169" s="110"/>
      <c r="F169" s="126">
        <f>F158+F168</f>
        <v>1450</v>
      </c>
      <c r="G169" s="126">
        <f t="shared" ref="G169" si="47">G158+G168</f>
        <v>55.88955555555556</v>
      </c>
      <c r="H169" s="126">
        <f t="shared" ref="H169" si="48">H158+H168</f>
        <v>59.153444444444432</v>
      </c>
      <c r="I169" s="126">
        <f t="shared" ref="I169" si="49">I158+I168</f>
        <v>223.7112222222222</v>
      </c>
      <c r="J169" s="126">
        <f t="shared" ref="J169:L169" si="50">J158+J168</f>
        <v>1653.1731111111112</v>
      </c>
      <c r="K169" s="142"/>
      <c r="L169" s="163">
        <f t="shared" si="50"/>
        <v>314.87</v>
      </c>
      <c r="M169" s="33"/>
      <c r="N169" s="33"/>
    </row>
    <row r="170" spans="1:14" ht="19.5" thickBot="1">
      <c r="A170" s="15">
        <v>2</v>
      </c>
      <c r="B170" s="16">
        <v>5</v>
      </c>
      <c r="C170" s="13" t="s">
        <v>22</v>
      </c>
      <c r="D170" s="46" t="s">
        <v>33</v>
      </c>
      <c r="E170" s="90" t="s">
        <v>70</v>
      </c>
      <c r="F170" s="80">
        <v>100</v>
      </c>
      <c r="G170" s="150">
        <f>F170*8.7/90</f>
        <v>9.6666666666666661</v>
      </c>
      <c r="H170" s="150">
        <f>F170*9.5/90</f>
        <v>10.555555555555555</v>
      </c>
      <c r="I170" s="150">
        <f>F170*1.5/90</f>
        <v>1.6666666666666667</v>
      </c>
      <c r="J170" s="150">
        <f>F170*127/90</f>
        <v>141.11111111111111</v>
      </c>
      <c r="K170" s="81" t="s">
        <v>144</v>
      </c>
      <c r="L170" s="156">
        <v>73.77</v>
      </c>
      <c r="M170" s="159"/>
      <c r="N170" s="33"/>
    </row>
    <row r="171" spans="1:14" ht="19.5" thickBot="1">
      <c r="A171" s="15"/>
      <c r="B171" s="16"/>
      <c r="C171" s="17"/>
      <c r="D171" s="41" t="s">
        <v>34</v>
      </c>
      <c r="E171" s="19" t="s">
        <v>35</v>
      </c>
      <c r="F171" s="14">
        <v>180</v>
      </c>
      <c r="G171" s="151">
        <f>F171*5.3/150</f>
        <v>6.36</v>
      </c>
      <c r="H171" s="151">
        <f>F171*3/150</f>
        <v>3.6</v>
      </c>
      <c r="I171" s="151">
        <f>F171*32.4/150</f>
        <v>38.880000000000003</v>
      </c>
      <c r="J171" s="151">
        <f>F171*178/150</f>
        <v>213.6</v>
      </c>
      <c r="K171" s="93" t="s">
        <v>74</v>
      </c>
      <c r="L171" s="156">
        <v>11.01</v>
      </c>
      <c r="M171" s="159"/>
      <c r="N171" s="33"/>
    </row>
    <row r="172" spans="1:14" ht="19.5" thickBot="1">
      <c r="A172" s="15"/>
      <c r="B172" s="16"/>
      <c r="C172" s="17"/>
      <c r="D172" s="47" t="s">
        <v>24</v>
      </c>
      <c r="E172" s="30" t="s">
        <v>43</v>
      </c>
      <c r="F172" s="18">
        <v>200</v>
      </c>
      <c r="G172" s="151">
        <v>0</v>
      </c>
      <c r="H172" s="151">
        <v>0</v>
      </c>
      <c r="I172" s="151">
        <v>12</v>
      </c>
      <c r="J172" s="151">
        <v>48</v>
      </c>
      <c r="K172" s="81" t="s">
        <v>44</v>
      </c>
      <c r="L172" s="156">
        <v>12.54</v>
      </c>
      <c r="M172" s="159"/>
      <c r="N172" s="33"/>
    </row>
    <row r="173" spans="1:14" ht="19.5" thickBot="1">
      <c r="A173" s="15"/>
      <c r="B173" s="16"/>
      <c r="C173" s="17"/>
      <c r="D173" s="162">
        <v>44240</v>
      </c>
      <c r="E173" s="19" t="s">
        <v>28</v>
      </c>
      <c r="F173" s="18">
        <v>50</v>
      </c>
      <c r="G173" s="151">
        <f>F173*6.1/50</f>
        <v>6.1</v>
      </c>
      <c r="H173" s="151">
        <f>F173*3.7/50</f>
        <v>3.7</v>
      </c>
      <c r="I173" s="151">
        <f>F173*17.5/50</f>
        <v>17.5</v>
      </c>
      <c r="J173" s="151">
        <f>F173*188/50</f>
        <v>188</v>
      </c>
      <c r="K173" s="78" t="s">
        <v>27</v>
      </c>
      <c r="L173" s="156">
        <v>44.11</v>
      </c>
      <c r="M173" s="159"/>
      <c r="N173" s="33"/>
    </row>
    <row r="174" spans="1:14" ht="19.5" thickBot="1">
      <c r="A174" s="15"/>
      <c r="B174" s="16"/>
      <c r="C174" s="17"/>
      <c r="D174" s="47" t="s">
        <v>26</v>
      </c>
      <c r="E174" s="19" t="s">
        <v>154</v>
      </c>
      <c r="F174" s="18">
        <v>50</v>
      </c>
      <c r="G174" s="151">
        <f>F174*2.8/50</f>
        <v>2.8</v>
      </c>
      <c r="H174" s="151">
        <f>F174*0.55/50</f>
        <v>0.55000000000000004</v>
      </c>
      <c r="I174" s="151">
        <f>F174*24.7/50</f>
        <v>24.7</v>
      </c>
      <c r="J174" s="151">
        <f>F174*114.95/50</f>
        <v>114.95</v>
      </c>
      <c r="K174" s="81" t="s">
        <v>41</v>
      </c>
      <c r="L174" s="160">
        <v>6.39</v>
      </c>
      <c r="M174" s="159"/>
      <c r="N174" s="33"/>
    </row>
    <row r="175" spans="1:14" ht="15.75">
      <c r="A175" s="15"/>
      <c r="B175" s="16"/>
      <c r="C175" s="17"/>
      <c r="D175" s="41"/>
      <c r="E175" s="30"/>
      <c r="F175" s="28"/>
      <c r="G175" s="18"/>
      <c r="H175" s="18"/>
      <c r="I175" s="18"/>
      <c r="J175" s="18"/>
      <c r="K175" s="93"/>
      <c r="L175" s="84"/>
    </row>
    <row r="176" spans="1:14" ht="15.75" customHeight="1" thickBot="1">
      <c r="A176" s="50"/>
      <c r="B176" s="51"/>
      <c r="C176" s="52"/>
      <c r="D176" s="53" t="s">
        <v>29</v>
      </c>
      <c r="E176" s="103"/>
      <c r="F176" s="118">
        <f>SUM(F170:F175)</f>
        <v>580</v>
      </c>
      <c r="G176" s="118">
        <f>SUM(G170:G175)</f>
        <v>24.926666666666666</v>
      </c>
      <c r="H176" s="118">
        <f>SUM(H170:H175)</f>
        <v>18.405555555555555</v>
      </c>
      <c r="I176" s="118">
        <f>SUM(I170:I175)</f>
        <v>94.74666666666667</v>
      </c>
      <c r="J176" s="118">
        <f>SUM(J170:J175)</f>
        <v>705.66111111111115</v>
      </c>
      <c r="K176" s="132"/>
      <c r="L176" s="118">
        <f>SUM(L170:L175)</f>
        <v>147.82</v>
      </c>
    </row>
    <row r="177" spans="1:12" ht="32.25" thickBot="1">
      <c r="A177" s="22">
        <v>2</v>
      </c>
      <c r="B177" s="23">
        <v>5</v>
      </c>
      <c r="C177" s="24" t="s">
        <v>30</v>
      </c>
      <c r="D177" s="47" t="s">
        <v>31</v>
      </c>
      <c r="E177" s="73" t="s">
        <v>145</v>
      </c>
      <c r="F177" s="80">
        <v>100</v>
      </c>
      <c r="G177" s="151">
        <f>F177*2.16/60</f>
        <v>3.6</v>
      </c>
      <c r="H177" s="151">
        <f>F177*4.48/60</f>
        <v>7.4666666666666677</v>
      </c>
      <c r="I177" s="151">
        <f>F177*9.9/60</f>
        <v>16.5</v>
      </c>
      <c r="J177" s="151">
        <f>F177*89/60</f>
        <v>148.33333333333334</v>
      </c>
      <c r="K177" s="87" t="s">
        <v>146</v>
      </c>
      <c r="L177" s="116">
        <v>20.71</v>
      </c>
    </row>
    <row r="178" spans="1:12" ht="32.25" thickBot="1">
      <c r="A178" s="15"/>
      <c r="B178" s="16"/>
      <c r="C178" s="24"/>
      <c r="D178" s="47" t="s">
        <v>32</v>
      </c>
      <c r="E178" s="30" t="s">
        <v>99</v>
      </c>
      <c r="F178" s="112">
        <v>250</v>
      </c>
      <c r="G178" s="151">
        <f>F178*3.74/200</f>
        <v>4.6749999999999998</v>
      </c>
      <c r="H178" s="151">
        <f>F178*6.42/200</f>
        <v>8.0250000000000004</v>
      </c>
      <c r="I178" s="151">
        <f>F178*11.16/200</f>
        <v>13.95</v>
      </c>
      <c r="J178" s="151">
        <f>F178*117.38/200</f>
        <v>146.72499999999999</v>
      </c>
      <c r="K178" s="81" t="s">
        <v>75</v>
      </c>
      <c r="L178" s="116">
        <v>26.05</v>
      </c>
    </row>
    <row r="179" spans="1:12" ht="16.5" thickBot="1">
      <c r="A179" s="15"/>
      <c r="B179" s="16"/>
      <c r="C179" s="17"/>
      <c r="D179" s="47" t="s">
        <v>33</v>
      </c>
      <c r="E179" s="68" t="s">
        <v>76</v>
      </c>
      <c r="F179" s="14">
        <v>100</v>
      </c>
      <c r="G179" s="151">
        <f>F179*11.7/90</f>
        <v>13</v>
      </c>
      <c r="H179" s="151">
        <f>F179*11.61/90</f>
        <v>12.9</v>
      </c>
      <c r="I179" s="151">
        <f>F179*5.76/90</f>
        <v>6.4</v>
      </c>
      <c r="J179" s="151">
        <f>F179*175/90</f>
        <v>194.44444444444446</v>
      </c>
      <c r="K179" s="93" t="s">
        <v>85</v>
      </c>
      <c r="L179" s="116">
        <v>89.06</v>
      </c>
    </row>
    <row r="180" spans="1:12" ht="16.5" thickBot="1">
      <c r="A180" s="15"/>
      <c r="B180" s="16"/>
      <c r="C180" s="17"/>
      <c r="D180" s="47" t="s">
        <v>34</v>
      </c>
      <c r="E180" s="30" t="s">
        <v>77</v>
      </c>
      <c r="F180" s="84">
        <v>180</v>
      </c>
      <c r="G180" s="151">
        <f>F180*2.5/150</f>
        <v>3</v>
      </c>
      <c r="H180" s="151">
        <f>F180*4/150</f>
        <v>4.8</v>
      </c>
      <c r="I180" s="151">
        <f>F180*24.6/150</f>
        <v>29.52</v>
      </c>
      <c r="J180" s="150">
        <f>F180*144/150</f>
        <v>172.8</v>
      </c>
      <c r="K180" s="81" t="s">
        <v>78</v>
      </c>
      <c r="L180" s="116">
        <v>16.739999999999998</v>
      </c>
    </row>
    <row r="181" spans="1:12" ht="16.5" thickBot="1">
      <c r="A181" s="15"/>
      <c r="B181" s="16"/>
      <c r="C181" s="17"/>
      <c r="D181" s="47" t="s">
        <v>95</v>
      </c>
      <c r="E181" s="26" t="s">
        <v>46</v>
      </c>
      <c r="F181" s="84">
        <v>200</v>
      </c>
      <c r="G181" s="151">
        <v>1</v>
      </c>
      <c r="H181" s="151">
        <v>0.1</v>
      </c>
      <c r="I181" s="151">
        <v>19.8</v>
      </c>
      <c r="J181" s="151">
        <v>84</v>
      </c>
      <c r="K181" s="81" t="s">
        <v>79</v>
      </c>
      <c r="L181" s="116">
        <v>6.62</v>
      </c>
    </row>
    <row r="182" spans="1:12" ht="16.5" thickBot="1">
      <c r="A182" s="15"/>
      <c r="B182" s="16"/>
      <c r="C182" s="17"/>
      <c r="D182" s="47" t="s">
        <v>37</v>
      </c>
      <c r="E182" s="19" t="s">
        <v>38</v>
      </c>
      <c r="F182" s="18">
        <v>30</v>
      </c>
      <c r="G182" s="151">
        <f>F182*2.37/30</f>
        <v>2.37</v>
      </c>
      <c r="H182" s="151">
        <f>F182*0.3/30</f>
        <v>0.3</v>
      </c>
      <c r="I182" s="151">
        <f>F182*14.49/30</f>
        <v>14.49</v>
      </c>
      <c r="J182" s="151">
        <f>F182*70.14/30</f>
        <v>70.14</v>
      </c>
      <c r="K182" s="81" t="s">
        <v>27</v>
      </c>
      <c r="L182" s="116">
        <v>3.84</v>
      </c>
    </row>
    <row r="183" spans="1:12" ht="16.5" thickBot="1">
      <c r="A183" s="15"/>
      <c r="B183" s="16"/>
      <c r="C183" s="17"/>
      <c r="D183" s="47" t="s">
        <v>39</v>
      </c>
      <c r="E183" s="19" t="s">
        <v>154</v>
      </c>
      <c r="F183" s="18">
        <v>30</v>
      </c>
      <c r="G183" s="151">
        <f>F183*1.68/30</f>
        <v>1.68</v>
      </c>
      <c r="H183" s="151">
        <f>F183*0.33/30</f>
        <v>0.33</v>
      </c>
      <c r="I183" s="151">
        <f>F183*14.82/30</f>
        <v>14.82</v>
      </c>
      <c r="J183" s="151">
        <f>F183*68.97/30</f>
        <v>68.97</v>
      </c>
      <c r="K183" s="81" t="s">
        <v>41</v>
      </c>
      <c r="L183" s="116">
        <v>4.03</v>
      </c>
    </row>
    <row r="184" spans="1:12" ht="15.75">
      <c r="A184" s="15"/>
      <c r="B184" s="16"/>
      <c r="C184" s="17"/>
      <c r="D184" s="41"/>
      <c r="E184" s="83"/>
      <c r="F184" s="84"/>
      <c r="G184" s="85"/>
      <c r="H184" s="85"/>
      <c r="I184" s="85"/>
      <c r="J184" s="85"/>
      <c r="K184" s="93"/>
      <c r="L184" s="116"/>
    </row>
    <row r="185" spans="1:12" ht="15.75">
      <c r="A185" s="15"/>
      <c r="B185" s="16"/>
      <c r="C185" s="17"/>
      <c r="D185" s="41"/>
      <c r="E185" s="83"/>
      <c r="F185" s="84"/>
      <c r="G185" s="85"/>
      <c r="H185" s="85"/>
      <c r="I185" s="85"/>
      <c r="J185" s="85"/>
      <c r="K185" s="93"/>
      <c r="L185" s="116"/>
    </row>
    <row r="186" spans="1:12" ht="15.75">
      <c r="A186" s="50"/>
      <c r="B186" s="51"/>
      <c r="C186" s="52"/>
      <c r="D186" s="53" t="s">
        <v>29</v>
      </c>
      <c r="E186" s="103"/>
      <c r="F186" s="104">
        <f>SUM(F177:F185)</f>
        <v>890</v>
      </c>
      <c r="G186" s="104">
        <f>SUM(G177:G185)</f>
        <v>29.324999999999999</v>
      </c>
      <c r="H186" s="104">
        <f>SUM(H177:H185)</f>
        <v>33.92166666666666</v>
      </c>
      <c r="I186" s="104">
        <f>SUM(I177:I185)</f>
        <v>115.47999999999999</v>
      </c>
      <c r="J186" s="104">
        <f>SUM(J177:J185)</f>
        <v>885.41277777777782</v>
      </c>
      <c r="K186" s="132"/>
      <c r="L186" s="118">
        <f>SUM(L177:L185)</f>
        <v>167.05</v>
      </c>
    </row>
    <row r="187" spans="1:12" ht="16.5" thickBot="1">
      <c r="A187" s="54">
        <v>2</v>
      </c>
      <c r="B187" s="55">
        <v>5</v>
      </c>
      <c r="C187" s="171" t="s">
        <v>40</v>
      </c>
      <c r="D187" s="172"/>
      <c r="E187" s="105"/>
      <c r="F187" s="106">
        <f>F176+F186</f>
        <v>1470</v>
      </c>
      <c r="G187" s="106">
        <f>G176+G186</f>
        <v>54.251666666666665</v>
      </c>
      <c r="H187" s="106">
        <f>H176+H186</f>
        <v>52.327222222222218</v>
      </c>
      <c r="I187" s="106">
        <f>I176+I186</f>
        <v>210.22666666666666</v>
      </c>
      <c r="J187" s="106">
        <f>J176+J186</f>
        <v>1591.0738888888891</v>
      </c>
      <c r="K187" s="140"/>
      <c r="L187" s="124">
        <f>L176+L186</f>
        <v>314.87</v>
      </c>
    </row>
    <row r="188" spans="1:12" ht="16.5" thickBot="1">
      <c r="A188" s="94"/>
      <c r="B188" s="95"/>
      <c r="C188" s="175" t="s">
        <v>80</v>
      </c>
      <c r="D188" s="175"/>
      <c r="E188" s="175"/>
      <c r="F188" s="96">
        <f>(F23+F40+F59+F78+F96+F114+F132+F151+F169+F187)/(IF(F23=0,0,1)+IF(F40=0,0,1)+IF(F59=0,0,1)+IF(F78=0,0,1)+IF(F96=0,0,1)+IF(F114=0,0,1)+IF(F132=0,0,1)+IF(F151=0,0,1)+IF(F169=0,0,1)+IF(F187=0,0,1))</f>
        <v>1487</v>
      </c>
      <c r="G188" s="96">
        <f>(G23+G40+G59+G78+G96+G114+G132+G151+G169+G187)/(IF(G23=0,0,1)+IF(G40=0,0,1)+IF(G59=0,0,1)+IF(G78=0,0,1)+IF(G96=0,0,1)+IF(G114=0,0,1)+IF(G132=0,0,1)+IF(G151=0,0,1)+IF(G169=0,0,1)+IF(G187=0,0,1))</f>
        <v>60.44774444444446</v>
      </c>
      <c r="H188" s="96">
        <f>(H23+H40+H59+H78+H96+H114+H132+H151+H169+H187)/(IF(H23=0,0,1)+IF(H40=0,0,1)+IF(H59=0,0,1)+IF(H78=0,0,1)+IF(H96=0,0,1)+IF(H114=0,0,1)+IF(H132=0,0,1)+IF(H151=0,0,1)+IF(H169=0,0,1)+IF(H187=0,0,1))</f>
        <v>59.362555555555545</v>
      </c>
      <c r="I188" s="96">
        <f>(I23+I40+I59+I78+I96+I114+I132+I151+I169+I187)/(IF(I23=0,0,1)+IF(I40=0,0,1)+IF(I59=0,0,1)+IF(I78=0,0,1)+IF(I96=0,0,1)+IF(I114=0,0,1)+IF(I132=0,0,1)+IF(I151=0,0,1)+IF(I169=0,0,1)+IF(I187=0,0,1))</f>
        <v>219.4701833333333</v>
      </c>
      <c r="J188" s="96">
        <f>(J23+J40+J59+J78+J96+J114+J132+J151+J169+J187)/(IF(J23=0,0,1)+IF(J40=0,0,1)+IF(J59=0,0,1)+IF(J78=0,0,1)+IF(J96=0,0,1)+IF(J114=0,0,1)+IF(J132=0,0,1)+IF(J151=0,0,1)+IF(J169=0,0,1)+IF(J187=0,0,1))</f>
        <v>1659.4061985507246</v>
      </c>
      <c r="K188" s="143"/>
      <c r="L188" s="127">
        <f>(L23+L40+L59+L78+L96+L114+L132+L151+L169+L187)/(IF(L23=0,0,1)+IF(L40=0,0,1)+IF(L59=0,0,1)+IF(L78=0,0,1)+IF(L96=0,0,1)+IF(L114=0,0,1)+IF(L132=0,0,1)+IF(L151=0,0,1)+IF(L169=0,0,1)+IF(L187=0,0,1))</f>
        <v>314.86999999999995</v>
      </c>
    </row>
    <row r="189" spans="1:12" ht="15">
      <c r="A189" s="97"/>
      <c r="B189" s="97"/>
      <c r="C189" s="98"/>
      <c r="D189" s="99"/>
      <c r="E189" s="100"/>
      <c r="F189" s="97"/>
      <c r="G189" s="97"/>
      <c r="H189" s="97"/>
      <c r="I189" s="97"/>
      <c r="J189" s="97"/>
      <c r="K189" s="144"/>
      <c r="L189" s="98"/>
    </row>
    <row r="190" spans="1:12" ht="15">
      <c r="A190" s="97"/>
      <c r="B190" s="97"/>
      <c r="C190" s="98"/>
      <c r="D190" s="99"/>
      <c r="E190" s="100"/>
      <c r="F190" s="97"/>
      <c r="G190" s="97"/>
      <c r="H190" s="97"/>
      <c r="I190" s="97"/>
      <c r="J190" s="97"/>
      <c r="K190" s="144"/>
      <c r="L190" s="98"/>
    </row>
    <row r="191" spans="1:12" ht="15">
      <c r="A191" s="97"/>
      <c r="B191" s="97"/>
      <c r="C191" s="98"/>
      <c r="D191" s="99"/>
      <c r="E191" s="100"/>
      <c r="F191" s="97"/>
      <c r="G191" s="97"/>
      <c r="H191" s="97"/>
      <c r="I191" s="97"/>
      <c r="J191" s="97"/>
      <c r="K191" s="144"/>
      <c r="L191" s="98"/>
    </row>
    <row r="192" spans="1:12" ht="15">
      <c r="A192" s="97"/>
      <c r="B192" s="97"/>
      <c r="C192" s="98"/>
      <c r="D192" s="99"/>
      <c r="E192" s="100"/>
      <c r="F192" s="97"/>
      <c r="G192" s="97"/>
      <c r="H192" s="97"/>
      <c r="I192" s="97"/>
      <c r="J192" s="97"/>
      <c r="K192" s="144"/>
      <c r="L192" s="98"/>
    </row>
    <row r="193" spans="1:13" ht="15">
      <c r="A193" s="97"/>
      <c r="B193" s="97"/>
      <c r="C193" s="98"/>
      <c r="D193" s="99"/>
      <c r="E193" s="100"/>
      <c r="F193" s="97"/>
      <c r="G193" s="97"/>
      <c r="H193" s="97"/>
      <c r="I193" s="97"/>
      <c r="J193" s="97"/>
      <c r="K193" s="144"/>
      <c r="L193" s="98"/>
    </row>
    <row r="194" spans="1:13" ht="15">
      <c r="A194" s="97"/>
      <c r="B194" s="97"/>
      <c r="C194" s="98"/>
      <c r="D194" s="99"/>
      <c r="E194" s="100"/>
      <c r="F194" s="97"/>
      <c r="G194" s="97"/>
      <c r="H194" s="97"/>
      <c r="I194" s="97"/>
      <c r="J194" s="97"/>
      <c r="K194" s="144"/>
      <c r="L194" s="98"/>
    </row>
    <row r="195" spans="1:13" ht="15">
      <c r="A195" s="97"/>
      <c r="B195" s="97"/>
      <c r="C195" s="98"/>
      <c r="D195" s="99"/>
      <c r="E195" s="100"/>
      <c r="F195" s="97"/>
      <c r="G195" s="97"/>
      <c r="H195" s="97"/>
      <c r="I195" s="97"/>
      <c r="J195" s="97"/>
      <c r="K195" s="144"/>
      <c r="L195" s="98"/>
    </row>
    <row r="196" spans="1:13" ht="15">
      <c r="A196" s="97"/>
      <c r="B196" s="97"/>
      <c r="C196" s="98"/>
      <c r="D196" s="99"/>
      <c r="E196" s="100"/>
      <c r="F196" s="97"/>
      <c r="G196" s="97"/>
      <c r="H196" s="97"/>
      <c r="I196" s="97"/>
      <c r="J196" s="97"/>
      <c r="K196" s="144"/>
      <c r="L196" s="98"/>
    </row>
    <row r="197" spans="1:13">
      <c r="K197" s="145"/>
    </row>
    <row r="198" spans="1:13">
      <c r="K198" s="145"/>
    </row>
    <row r="199" spans="1:13">
      <c r="E199" s="69"/>
      <c r="F199" s="33"/>
      <c r="G199" s="33"/>
      <c r="H199" s="33"/>
      <c r="I199" s="33"/>
      <c r="J199" s="33"/>
      <c r="K199" s="146"/>
      <c r="L199" s="128"/>
      <c r="M199" s="33"/>
    </row>
    <row r="200" spans="1:13" ht="15.75">
      <c r="E200" s="70"/>
      <c r="F200" s="34"/>
      <c r="G200" s="35"/>
      <c r="H200" s="35"/>
      <c r="I200" s="35"/>
      <c r="J200" s="35"/>
      <c r="K200" s="49"/>
      <c r="L200" s="129"/>
      <c r="M200" s="36"/>
    </row>
    <row r="201" spans="1:13" ht="15.75">
      <c r="E201" s="71"/>
      <c r="F201" s="37"/>
      <c r="G201" s="38"/>
      <c r="H201" s="38"/>
      <c r="I201" s="38"/>
      <c r="J201" s="38"/>
      <c r="K201" s="49"/>
      <c r="L201" s="129"/>
      <c r="M201" s="36"/>
    </row>
    <row r="202" spans="1:13" ht="15.75">
      <c r="E202" s="39"/>
      <c r="F202" s="35"/>
      <c r="G202" s="35"/>
      <c r="H202" s="35"/>
      <c r="I202" s="35"/>
      <c r="J202" s="35"/>
      <c r="K202" s="49"/>
      <c r="L202" s="128"/>
      <c r="M202" s="33"/>
    </row>
    <row r="203" spans="1:13" ht="15.75">
      <c r="E203" s="39"/>
      <c r="F203" s="35"/>
      <c r="G203" s="35"/>
      <c r="H203" s="35"/>
      <c r="I203" s="35"/>
      <c r="J203" s="35"/>
      <c r="K203" s="49"/>
      <c r="L203" s="128"/>
      <c r="M203" s="33"/>
    </row>
    <row r="204" spans="1:13" ht="15.75">
      <c r="E204" s="39"/>
      <c r="F204" s="35"/>
      <c r="G204" s="35"/>
      <c r="H204" s="35"/>
      <c r="I204" s="35"/>
      <c r="J204" s="35"/>
      <c r="K204" s="49"/>
      <c r="L204" s="128"/>
      <c r="M204" s="33"/>
    </row>
    <row r="205" spans="1:13" ht="15.75">
      <c r="E205" s="39"/>
      <c r="F205" s="35"/>
      <c r="G205" s="35"/>
      <c r="H205" s="35"/>
      <c r="I205" s="35"/>
      <c r="J205" s="35"/>
      <c r="K205" s="49"/>
      <c r="L205" s="128"/>
      <c r="M205" s="33"/>
    </row>
    <row r="206" spans="1:13" ht="15.75">
      <c r="E206" s="72"/>
      <c r="F206" s="40"/>
      <c r="G206" s="38"/>
      <c r="H206" s="38"/>
      <c r="I206" s="38"/>
      <c r="J206" s="38"/>
      <c r="K206" s="146"/>
      <c r="L206" s="128"/>
      <c r="M206" s="33"/>
    </row>
    <row r="207" spans="1:13" ht="15.75">
      <c r="E207" s="39"/>
      <c r="F207" s="38"/>
      <c r="G207" s="35"/>
      <c r="H207" s="35"/>
      <c r="I207" s="35"/>
      <c r="J207" s="35"/>
      <c r="K207" s="147"/>
      <c r="L207" s="128"/>
      <c r="M207" s="33"/>
    </row>
    <row r="208" spans="1:13" ht="15.75">
      <c r="E208" s="39"/>
      <c r="F208" s="35"/>
      <c r="G208" s="38"/>
      <c r="H208" s="38"/>
      <c r="I208" s="38"/>
      <c r="J208" s="38"/>
      <c r="K208" s="147"/>
      <c r="L208" s="128"/>
      <c r="M208" s="33"/>
    </row>
    <row r="209" spans="5:13" ht="15.75">
      <c r="E209" s="39"/>
      <c r="F209" s="35"/>
      <c r="G209" s="38"/>
      <c r="H209" s="38"/>
      <c r="I209" s="38"/>
      <c r="J209" s="38"/>
      <c r="K209" s="147"/>
      <c r="L209" s="128"/>
      <c r="M209" s="33"/>
    </row>
    <row r="210" spans="5:13" ht="15.75">
      <c r="E210" s="39"/>
      <c r="F210" s="35"/>
      <c r="G210" s="35"/>
      <c r="H210" s="35"/>
      <c r="I210" s="35"/>
      <c r="J210" s="38"/>
      <c r="K210" s="147"/>
      <c r="L210" s="128"/>
      <c r="M210" s="33"/>
    </row>
    <row r="211" spans="5:13" ht="15.75">
      <c r="E211" s="39"/>
      <c r="F211" s="35"/>
      <c r="G211" s="35"/>
      <c r="H211" s="35"/>
      <c r="I211" s="35"/>
      <c r="J211" s="35"/>
      <c r="K211" s="147"/>
      <c r="L211" s="128"/>
      <c r="M211" s="33"/>
    </row>
    <row r="212" spans="5:13" ht="15.75">
      <c r="E212" s="34"/>
      <c r="F212" s="35"/>
      <c r="G212" s="35"/>
      <c r="H212" s="35"/>
      <c r="I212" s="35"/>
      <c r="J212" s="35"/>
      <c r="K212" s="49"/>
      <c r="L212" s="128"/>
      <c r="M212" s="33"/>
    </row>
    <row r="213" spans="5:13" ht="15.75">
      <c r="E213" s="34"/>
      <c r="F213" s="35"/>
      <c r="G213" s="35"/>
      <c r="H213" s="35"/>
      <c r="I213" s="35"/>
      <c r="J213" s="35"/>
      <c r="K213" s="147"/>
      <c r="L213" s="128"/>
      <c r="M213" s="33"/>
    </row>
    <row r="214" spans="5:13" ht="15.75">
      <c r="E214" s="39"/>
      <c r="F214" s="38"/>
      <c r="G214" s="38"/>
      <c r="H214" s="38"/>
      <c r="I214" s="38"/>
      <c r="J214" s="38"/>
      <c r="K214" s="49"/>
      <c r="L214" s="128"/>
      <c r="M214" s="33"/>
    </row>
    <row r="215" spans="5:13">
      <c r="E215" s="69"/>
      <c r="F215" s="33"/>
      <c r="G215" s="33"/>
      <c r="H215" s="33"/>
      <c r="I215" s="33"/>
      <c r="J215" s="33"/>
      <c r="K215" s="146"/>
      <c r="L215" s="128"/>
      <c r="M215" s="33"/>
    </row>
    <row r="216" spans="5:13">
      <c r="E216" s="69"/>
      <c r="F216" s="33"/>
      <c r="G216" s="33"/>
      <c r="H216" s="33"/>
      <c r="I216" s="33"/>
      <c r="J216" s="33"/>
      <c r="K216" s="146"/>
      <c r="L216" s="128"/>
      <c r="M216" s="33"/>
    </row>
  </sheetData>
  <mergeCells count="14">
    <mergeCell ref="C151:D151"/>
    <mergeCell ref="C169:D169"/>
    <mergeCell ref="C187:D187"/>
    <mergeCell ref="C188:E188"/>
    <mergeCell ref="C59:D59"/>
    <mergeCell ref="C78:D78"/>
    <mergeCell ref="C96:D96"/>
    <mergeCell ref="C114:D114"/>
    <mergeCell ref="C132:D132"/>
    <mergeCell ref="C1:E1"/>
    <mergeCell ref="H1:K1"/>
    <mergeCell ref="H2:K2"/>
    <mergeCell ref="C23:D23"/>
    <mergeCell ref="C40:D40"/>
  </mergeCells>
  <pageMargins left="0.70866141732283505" right="0.70866141732283505" top="0.74803149606299202" bottom="0.74803149606299202" header="0.31496062992126" footer="0.31496062992126"/>
  <pageSetup paperSize="9" scale="98" orientation="landscape" r:id="rId1"/>
  <rowBreaks count="6" manualBreakCount="6">
    <brk id="40" max="16383" man="1"/>
    <brk id="59" max="16383" man="1"/>
    <brk id="78" max="16383" man="1"/>
    <brk id="96" max="16383" man="1"/>
    <brk id="114" max="16383" man="1"/>
    <brk id="132" max="16383" man="1"/>
  </rowBreaks>
  <colBreaks count="1" manualBreakCount="1">
    <brk id="12" max="1048575" man="1"/>
  </colBreaks>
  <ignoredErrors>
    <ignoredError sqref="G85:H85" formula="1"/>
    <ignoredError sqref="G8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2025-08-29T09:30:38Z</cp:lastPrinted>
  <dcterms:created xsi:type="dcterms:W3CDTF">2022-05-16T14:23:00Z</dcterms:created>
  <dcterms:modified xsi:type="dcterms:W3CDTF">2025-09-29T04:22:35Z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